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2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4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5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6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7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.xml" ContentType="application/vnd.openxmlformats-officedocument.drawing+xml"/>
  <Override PartName="/xl/charts/chart4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6.xml" ContentType="application/vnd.openxmlformats-officedocument.drawing+xml"/>
  <Override PartName="/xl/charts/chart4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8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7.xml" ContentType="application/vnd.openxmlformats-officedocument.drawing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9.xml" ContentType="application/vnd.openxmlformats-officedocument.drawing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hil Townsend\Desktop\"/>
    </mc:Choice>
  </mc:AlternateContent>
  <bookViews>
    <workbookView xWindow="0" yWindow="0" windowWidth="15360" windowHeight="7755" firstSheet="3" activeTab="6"/>
  </bookViews>
  <sheets>
    <sheet name="MetaData" sheetId="18" r:id="rId1"/>
    <sheet name="Gwydir" sheetId="1" r:id="rId2"/>
    <sheet name="LwrBal" sheetId="22" r:id="rId3"/>
    <sheet name="Goondiw" sheetId="7" r:id="rId4"/>
    <sheet name="War-Nar-Tra" sheetId="12" r:id="rId5"/>
    <sheet name="NamoiGunBog" sheetId="14" r:id="rId6"/>
    <sheet name="NamoiBlNarr" sheetId="16" r:id="rId7"/>
    <sheet name="Mungindi" sheetId="17" r:id="rId8"/>
    <sheet name="Bourke" sheetId="20" r:id="rId9"/>
    <sheet name="cotprice" sheetId="2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0" i="16" l="1"/>
  <c r="FR18" i="16" l="1"/>
  <c r="FQ18" i="16"/>
  <c r="FP18" i="16"/>
  <c r="FO18" i="16"/>
  <c r="HG30" i="16" l="1"/>
  <c r="HH30" i="16"/>
  <c r="HI30" i="16"/>
  <c r="HF30" i="16"/>
  <c r="DB18" i="16"/>
  <c r="DA18" i="16"/>
  <c r="AG42" i="22" l="1"/>
  <c r="AG43" i="22"/>
  <c r="AG44" i="22"/>
  <c r="AG45" i="22"/>
  <c r="AG46" i="22"/>
  <c r="AG47" i="22"/>
  <c r="AG48" i="22"/>
  <c r="AG49" i="22"/>
  <c r="AG50" i="22"/>
  <c r="AG51" i="22"/>
  <c r="AG52" i="22"/>
  <c r="AG53" i="22"/>
  <c r="AG54" i="22"/>
  <c r="AG55" i="22"/>
  <c r="AG56" i="22"/>
  <c r="BQ24" i="17" l="1"/>
  <c r="BQ25" i="17"/>
  <c r="BR24" i="17"/>
  <c r="BS22" i="20" l="1"/>
  <c r="EB24" i="12"/>
  <c r="AI23" i="12" l="1"/>
  <c r="AI11" i="12"/>
  <c r="AH11" i="12"/>
  <c r="M152" i="1" l="1"/>
  <c r="O152" i="1"/>
  <c r="N152" i="1"/>
  <c r="L148" i="1"/>
  <c r="M146" i="1" a="1"/>
  <c r="N146" i="1" s="1"/>
  <c r="M146" i="1"/>
  <c r="M147" i="1"/>
  <c r="N147" i="1"/>
  <c r="N148" i="1"/>
  <c r="O148" i="1"/>
  <c r="O149" i="1"/>
  <c r="M150" i="1"/>
  <c r="O150" i="1" l="1"/>
  <c r="N149" i="1"/>
  <c r="M148" i="1"/>
  <c r="O146" i="1"/>
  <c r="N150" i="1"/>
  <c r="M149" i="1"/>
  <c r="O147" i="1"/>
  <c r="AQ24" i="14"/>
  <c r="AP24" i="14"/>
  <c r="AS20" i="14"/>
  <c r="DR21" i="7"/>
  <c r="DS21" i="7"/>
  <c r="DT21" i="7"/>
  <c r="DU21" i="7"/>
  <c r="DQ21" i="7"/>
  <c r="DX18" i="7" a="1"/>
  <c r="DX18" i="7" s="1"/>
  <c r="EI25" i="1"/>
  <c r="EJ25" i="1"/>
  <c r="EH25" i="1"/>
  <c r="EL21" i="1"/>
  <c r="R152" i="1"/>
  <c r="Q152" i="1"/>
  <c r="U148" i="1"/>
  <c r="AY155" i="22"/>
  <c r="EA22" i="7" l="1"/>
  <c r="EB21" i="7"/>
  <c r="DX21" i="7"/>
  <c r="DY20" i="7"/>
  <c r="DZ19" i="7"/>
  <c r="EA18" i="7"/>
  <c r="DZ22" i="7"/>
  <c r="EA21" i="7"/>
  <c r="EB20" i="7"/>
  <c r="DX20" i="7"/>
  <c r="DV20" i="7" s="1"/>
  <c r="DY19" i="7"/>
  <c r="DZ18" i="7"/>
  <c r="DY22" i="7"/>
  <c r="DZ21" i="7"/>
  <c r="EA20" i="7"/>
  <c r="EB19" i="7"/>
  <c r="DX19" i="7"/>
  <c r="DY18" i="7"/>
  <c r="EB22" i="7"/>
  <c r="DX22" i="7"/>
  <c r="DY21" i="7"/>
  <c r="DZ20" i="7"/>
  <c r="EA19" i="7"/>
  <c r="EB18" i="7"/>
  <c r="AB5" i="22"/>
  <c r="AC5" i="22"/>
  <c r="AB6" i="22"/>
  <c r="AC6" i="22"/>
  <c r="AF42" i="22" s="1"/>
  <c r="AB7" i="22"/>
  <c r="AC7" i="22"/>
  <c r="AF43" i="22" s="1"/>
  <c r="AB8" i="22"/>
  <c r="AC8" i="22"/>
  <c r="AF44" i="22" s="1"/>
  <c r="AB9" i="22"/>
  <c r="AC9" i="22"/>
  <c r="AB10" i="22"/>
  <c r="AC10" i="22"/>
  <c r="AF46" i="22" s="1"/>
  <c r="AB11" i="22"/>
  <c r="AC11" i="22"/>
  <c r="AF47" i="22" s="1"/>
  <c r="AB12" i="22"/>
  <c r="AC12" i="22"/>
  <c r="AF48" i="22" s="1"/>
  <c r="AB13" i="22"/>
  <c r="AC13" i="22"/>
  <c r="AE13" i="22" a="1"/>
  <c r="AE13" i="22"/>
  <c r="AG13" i="22"/>
  <c r="AJ13" i="22" a="1"/>
  <c r="AL13" i="22"/>
  <c r="AB14" i="22"/>
  <c r="AC14" i="22"/>
  <c r="AF50" i="22" s="1"/>
  <c r="AQ50" i="22" s="1"/>
  <c r="AF14" i="22"/>
  <c r="AG14" i="22"/>
  <c r="AJ14" i="22"/>
  <c r="AB15" i="22"/>
  <c r="AC15" i="22"/>
  <c r="AF15" i="22"/>
  <c r="AK42" i="22" s="1"/>
  <c r="AR42" i="22" s="1"/>
  <c r="AW42" i="22" s="1"/>
  <c r="AG15" i="22"/>
  <c r="AS42" i="22" s="1"/>
  <c r="AB16" i="22"/>
  <c r="AC16" i="22"/>
  <c r="AF52" i="22" s="1"/>
  <c r="AF16" i="22"/>
  <c r="AH44" i="22" s="1"/>
  <c r="AG16" i="22"/>
  <c r="AJ16" i="22"/>
  <c r="AL16" i="22"/>
  <c r="AB17" i="22"/>
  <c r="AC17" i="22"/>
  <c r="AF53" i="22" s="1"/>
  <c r="AF17" i="22"/>
  <c r="AK44" i="22" s="1"/>
  <c r="AG17" i="22"/>
  <c r="BC44" i="22" s="1"/>
  <c r="AB18" i="22"/>
  <c r="AC18" i="22"/>
  <c r="AF54" i="22" s="1"/>
  <c r="AQ54" i="22" s="1"/>
  <c r="AF18" i="22"/>
  <c r="AG18" i="22"/>
  <c r="AS45" i="22" s="1"/>
  <c r="AJ18" i="22"/>
  <c r="AB19" i="22"/>
  <c r="AC19" i="22"/>
  <c r="AC20" i="22" s="1"/>
  <c r="AF56" i="22" s="1"/>
  <c r="AF19" i="22"/>
  <c r="AG19" i="22"/>
  <c r="AS46" i="22" s="1"/>
  <c r="AL19" i="22"/>
  <c r="AB20" i="22"/>
  <c r="AF20" i="22"/>
  <c r="AH48" i="22" s="1"/>
  <c r="AG20" i="22"/>
  <c r="AS47" i="22" s="1"/>
  <c r="AL20" i="22"/>
  <c r="AE21" i="22"/>
  <c r="AF21" i="22"/>
  <c r="AK21" i="22"/>
  <c r="AF22" i="22"/>
  <c r="AG22" i="22"/>
  <c r="AE23" i="22"/>
  <c r="AF23" i="22"/>
  <c r="AJ23" i="22"/>
  <c r="B24" i="22"/>
  <c r="C24" i="22"/>
  <c r="H24" i="22" s="1"/>
  <c r="F24" i="22"/>
  <c r="AF24" i="22"/>
  <c r="AG24" i="22"/>
  <c r="B25" i="22"/>
  <c r="F25" i="22" s="1"/>
  <c r="C25" i="22"/>
  <c r="H25" i="22" s="1"/>
  <c r="AE25" i="22"/>
  <c r="AF25" i="22"/>
  <c r="AK52" i="22" s="1"/>
  <c r="AR52" i="22" s="1"/>
  <c r="AW52" i="22" s="1"/>
  <c r="AL25" i="22"/>
  <c r="AX123" i="22" s="1"/>
  <c r="BO123" i="22" s="1"/>
  <c r="B26" i="22"/>
  <c r="C26" i="22"/>
  <c r="H26" i="22" s="1"/>
  <c r="F26" i="22"/>
  <c r="AB26" i="22"/>
  <c r="AC26" i="22"/>
  <c r="AO68" i="22" s="1"/>
  <c r="AU68" i="22" s="1"/>
  <c r="AV68" i="22" s="1"/>
  <c r="AE26" i="22"/>
  <c r="AF26" i="22"/>
  <c r="AJ26" i="22"/>
  <c r="AK26" i="22"/>
  <c r="BY124" i="22" s="1"/>
  <c r="B27" i="22"/>
  <c r="C27" i="22"/>
  <c r="H27" i="22" s="1"/>
  <c r="F27" i="22"/>
  <c r="AB27" i="22"/>
  <c r="AC27" i="22"/>
  <c r="AE27" i="22"/>
  <c r="AF27" i="22"/>
  <c r="AJ27" i="22"/>
  <c r="B28" i="22"/>
  <c r="C28" i="22"/>
  <c r="H28" i="22" s="1"/>
  <c r="F28" i="22"/>
  <c r="AB28" i="22"/>
  <c r="AC28" i="22"/>
  <c r="AE28" i="22"/>
  <c r="AF28" i="22"/>
  <c r="AR82" i="22" s="1"/>
  <c r="AK28" i="22"/>
  <c r="AL28" i="22"/>
  <c r="B29" i="22"/>
  <c r="C29" i="22"/>
  <c r="F29" i="22"/>
  <c r="H29" i="22"/>
  <c r="AB29" i="22"/>
  <c r="AC29" i="22"/>
  <c r="AE29" i="22"/>
  <c r="AF29" i="22"/>
  <c r="AR83" i="22" s="1"/>
  <c r="AS83" i="22" s="1"/>
  <c r="AL29" i="22"/>
  <c r="AX127" i="22" s="1"/>
  <c r="B30" i="22"/>
  <c r="C30" i="22"/>
  <c r="F30" i="22"/>
  <c r="H30" i="22"/>
  <c r="AB30" i="22"/>
  <c r="AC30" i="22"/>
  <c r="B31" i="22"/>
  <c r="F31" i="22" s="1"/>
  <c r="C31" i="22"/>
  <c r="H31" i="22" s="1"/>
  <c r="AB31" i="22"/>
  <c r="AC31" i="22"/>
  <c r="B32" i="22"/>
  <c r="C32" i="22"/>
  <c r="H32" i="22" s="1"/>
  <c r="F32" i="22"/>
  <c r="AB32" i="22"/>
  <c r="AC32" i="22"/>
  <c r="AQ47" i="22" s="1"/>
  <c r="B33" i="22"/>
  <c r="F33" i="22" s="1"/>
  <c r="C33" i="22"/>
  <c r="H33" i="22"/>
  <c r="AB33" i="22"/>
  <c r="AC33" i="22"/>
  <c r="B34" i="22"/>
  <c r="C34" i="22"/>
  <c r="F34" i="22"/>
  <c r="H34" i="22"/>
  <c r="AB34" i="22"/>
  <c r="AC34" i="22"/>
  <c r="AQ49" i="22" s="1"/>
  <c r="B35" i="22"/>
  <c r="F35" i="22" s="1"/>
  <c r="C35" i="22"/>
  <c r="H35" i="22" s="1"/>
  <c r="AB35" i="22"/>
  <c r="AC35" i="22"/>
  <c r="B36" i="22"/>
  <c r="C36" i="22"/>
  <c r="F36" i="22"/>
  <c r="H36" i="22"/>
  <c r="AB36" i="22"/>
  <c r="AC36" i="22"/>
  <c r="B37" i="22"/>
  <c r="F37" i="22" s="1"/>
  <c r="C37" i="22"/>
  <c r="H37" i="22"/>
  <c r="AB37" i="22"/>
  <c r="AC37" i="22"/>
  <c r="AQ52" i="22" s="1"/>
  <c r="AV52" i="22" s="1"/>
  <c r="AB38" i="22"/>
  <c r="AC38" i="22"/>
  <c r="AQ53" i="22" s="1"/>
  <c r="AB39" i="22"/>
  <c r="AC39" i="22"/>
  <c r="AB40" i="22"/>
  <c r="AC40" i="22"/>
  <c r="AB41" i="22"/>
  <c r="AC41" i="22"/>
  <c r="AH42" i="22"/>
  <c r="AP42" i="22"/>
  <c r="AU42" i="22"/>
  <c r="AZ42" i="22"/>
  <c r="BB42" i="22"/>
  <c r="BC42" i="22"/>
  <c r="BN42" i="22"/>
  <c r="BO42" i="22"/>
  <c r="BQ42" i="22" s="1"/>
  <c r="BP42" i="22"/>
  <c r="BS42" i="22"/>
  <c r="AK43" i="22"/>
  <c r="AP43" i="22"/>
  <c r="AQ43" i="22"/>
  <c r="AV43" i="22" s="1"/>
  <c r="AU43" i="22"/>
  <c r="AZ43" i="22"/>
  <c r="BB43" i="22"/>
  <c r="BN43" i="22"/>
  <c r="BO43" i="22"/>
  <c r="BP43" i="22"/>
  <c r="BQ43" i="22" s="1"/>
  <c r="AQ44" i="22"/>
  <c r="AP44" i="22"/>
  <c r="AS44" i="22"/>
  <c r="AU44" i="22"/>
  <c r="AZ44" i="22"/>
  <c r="BB44" i="22"/>
  <c r="BN44" i="22"/>
  <c r="BO44" i="22"/>
  <c r="BP44" i="22"/>
  <c r="BQ44" i="22"/>
  <c r="AF45" i="22"/>
  <c r="AQ45" i="22"/>
  <c r="AK45" i="22"/>
  <c r="BA45" i="22" s="1"/>
  <c r="BR45" i="22" s="1"/>
  <c r="AP45" i="22"/>
  <c r="AR45" i="22"/>
  <c r="AU45" i="22"/>
  <c r="AW45" i="22"/>
  <c r="AZ45" i="22"/>
  <c r="BB45" i="22"/>
  <c r="BC45" i="22"/>
  <c r="BN45" i="22"/>
  <c r="BO45" i="22"/>
  <c r="BP45" i="22"/>
  <c r="AH46" i="22"/>
  <c r="AP46" i="22"/>
  <c r="AQ46" i="22"/>
  <c r="AU46" i="22"/>
  <c r="AZ46" i="22"/>
  <c r="BB46" i="22"/>
  <c r="BC46" i="22"/>
  <c r="BN46" i="22"/>
  <c r="BO46" i="22"/>
  <c r="BQ46" i="22" s="1"/>
  <c r="BP46" i="22"/>
  <c r="BS46" i="22"/>
  <c r="AB47" i="22"/>
  <c r="AC47" i="22"/>
  <c r="AK47" i="22"/>
  <c r="AP47" i="22"/>
  <c r="AU47" i="22"/>
  <c r="AZ47" i="22"/>
  <c r="BB47" i="22"/>
  <c r="BN47" i="22"/>
  <c r="BO47" i="22"/>
  <c r="BP47" i="22"/>
  <c r="AB48" i="22"/>
  <c r="AC48" i="22"/>
  <c r="AP48" i="22"/>
  <c r="AU48" i="22"/>
  <c r="AZ48" i="22"/>
  <c r="BB48" i="22"/>
  <c r="BN48" i="22"/>
  <c r="BQ48" i="22" s="1"/>
  <c r="BO48" i="22"/>
  <c r="BP48" i="22"/>
  <c r="AB49" i="22"/>
  <c r="AC49" i="22"/>
  <c r="AF49" i="22"/>
  <c r="AK49" i="22"/>
  <c r="AP49" i="22"/>
  <c r="AU49" i="22"/>
  <c r="AZ49" i="22"/>
  <c r="BB49" i="22"/>
  <c r="BN49" i="22"/>
  <c r="BO49" i="22"/>
  <c r="BP49" i="22"/>
  <c r="BQ49" i="22"/>
  <c r="AB50" i="22"/>
  <c r="AC50" i="22"/>
  <c r="AP50" i="22"/>
  <c r="AU50" i="22"/>
  <c r="AZ50" i="22"/>
  <c r="BB50" i="22"/>
  <c r="BN50" i="22"/>
  <c r="BO50" i="22"/>
  <c r="BQ50" i="22" s="1"/>
  <c r="BP50" i="22"/>
  <c r="AB51" i="22"/>
  <c r="AC51" i="22"/>
  <c r="AF51" i="22"/>
  <c r="AQ51" i="22"/>
  <c r="AP51" i="22"/>
  <c r="AS51" i="22"/>
  <c r="AU51" i="22"/>
  <c r="AZ51" i="22"/>
  <c r="BB51" i="22"/>
  <c r="BC51" i="22"/>
  <c r="BN51" i="22"/>
  <c r="BO51" i="22"/>
  <c r="BP51" i="22"/>
  <c r="BS51" i="22"/>
  <c r="AB52" i="22"/>
  <c r="AC52" i="22"/>
  <c r="AP52" i="22"/>
  <c r="AU52" i="22"/>
  <c r="AZ52" i="22"/>
  <c r="BA52" i="22"/>
  <c r="BR52" i="22" s="1"/>
  <c r="BB52" i="22"/>
  <c r="BN52" i="22"/>
  <c r="BO52" i="22"/>
  <c r="BP52" i="22"/>
  <c r="BQ52" i="22"/>
  <c r="AB53" i="22"/>
  <c r="AC53" i="22"/>
  <c r="AH53" i="22"/>
  <c r="AP53" i="22"/>
  <c r="AU53" i="22"/>
  <c r="AZ53" i="22"/>
  <c r="BB53" i="22"/>
  <c r="BN53" i="22"/>
  <c r="BO53" i="22"/>
  <c r="BQ53" i="22" s="1"/>
  <c r="BP53" i="22"/>
  <c r="AB54" i="22"/>
  <c r="AC54" i="22"/>
  <c r="AK54" i="22"/>
  <c r="AP54" i="22"/>
  <c r="AU54" i="22"/>
  <c r="AZ54" i="22"/>
  <c r="BB54" i="22"/>
  <c r="BN54" i="22"/>
  <c r="BO54" i="22"/>
  <c r="BP54" i="22"/>
  <c r="AB55" i="22"/>
  <c r="AC55" i="22"/>
  <c r="AH55" i="22"/>
  <c r="AK55" i="22"/>
  <c r="AP55" i="22"/>
  <c r="AU55" i="22"/>
  <c r="AZ55" i="22"/>
  <c r="BB55" i="22"/>
  <c r="BN55" i="22"/>
  <c r="BO55" i="22"/>
  <c r="BQ55" i="22" s="1"/>
  <c r="BP55" i="22"/>
  <c r="AB56" i="22"/>
  <c r="AC56" i="22"/>
  <c r="AH56" i="22"/>
  <c r="AK56" i="22"/>
  <c r="BA56" i="22" s="1"/>
  <c r="BR56" i="22" s="1"/>
  <c r="AZ56" i="22"/>
  <c r="BB56" i="22"/>
  <c r="BN56" i="22"/>
  <c r="BO56" i="22"/>
  <c r="BP56" i="22"/>
  <c r="AB57" i="22"/>
  <c r="AC57" i="22"/>
  <c r="AB58" i="22"/>
  <c r="AC58" i="22"/>
  <c r="AB59" i="22"/>
  <c r="AC59" i="22"/>
  <c r="AB60" i="22"/>
  <c r="AC60" i="22"/>
  <c r="AB61" i="22"/>
  <c r="AC61" i="22"/>
  <c r="AB62" i="22"/>
  <c r="AC62" i="22"/>
  <c r="AC68" i="22"/>
  <c r="AF68" i="22"/>
  <c r="AG68" i="22"/>
  <c r="AP68" i="22" s="1"/>
  <c r="AH68" i="22"/>
  <c r="AJ68" i="22"/>
  <c r="AK68" i="22"/>
  <c r="AQ68" i="22"/>
  <c r="AR68" i="22"/>
  <c r="AS68" i="22" s="1"/>
  <c r="AT68" i="22" s="1"/>
  <c r="AC69" i="22"/>
  <c r="AH90" i="22" s="1"/>
  <c r="AN90" i="22" s="1"/>
  <c r="AN113" i="22" s="1"/>
  <c r="AG69" i="22"/>
  <c r="AH69" i="22"/>
  <c r="AQ69" i="22" s="1"/>
  <c r="AJ69" i="22"/>
  <c r="AK69" i="22" s="1"/>
  <c r="AP69" i="22"/>
  <c r="AR69" i="22"/>
  <c r="AS69" i="22"/>
  <c r="AT69" i="22" s="1"/>
  <c r="AC70" i="22"/>
  <c r="AH91" i="22" s="1"/>
  <c r="AN91" i="22" s="1"/>
  <c r="AN114" i="22" s="1"/>
  <c r="AG70" i="22"/>
  <c r="AH70" i="22"/>
  <c r="AJ70" i="22"/>
  <c r="AK70" i="22"/>
  <c r="AP70" i="22"/>
  <c r="AQ70" i="22"/>
  <c r="AT70" i="22" s="1"/>
  <c r="AR70" i="22"/>
  <c r="AS70" i="22"/>
  <c r="AC71" i="22"/>
  <c r="AH92" i="22" s="1"/>
  <c r="AN92" i="22" s="1"/>
  <c r="AN115" i="22" s="1"/>
  <c r="AG71" i="22"/>
  <c r="AH71" i="22" s="1"/>
  <c r="AJ71" i="22"/>
  <c r="AK71" i="22"/>
  <c r="AP71" i="22"/>
  <c r="AQ71" i="22"/>
  <c r="AR71" i="22"/>
  <c r="AS71" i="22" s="1"/>
  <c r="AT71" i="22" s="1"/>
  <c r="AC72" i="22"/>
  <c r="AG72" i="22"/>
  <c r="AP72" i="22" s="1"/>
  <c r="AH72" i="22"/>
  <c r="AK72" i="22" s="1"/>
  <c r="AJ72" i="22"/>
  <c r="AR72" i="22"/>
  <c r="AS72" i="22"/>
  <c r="AC73" i="22"/>
  <c r="AG73" i="22"/>
  <c r="AH73" i="22"/>
  <c r="AQ73" i="22" s="1"/>
  <c r="AJ73" i="22"/>
  <c r="AP73" i="22"/>
  <c r="AR73" i="22"/>
  <c r="AS73" i="22" s="1"/>
  <c r="AC74" i="22"/>
  <c r="AH95" i="22" s="1"/>
  <c r="AN95" i="22" s="1"/>
  <c r="AN118" i="22" s="1"/>
  <c r="AG74" i="22"/>
  <c r="AH74" i="22"/>
  <c r="AQ74" i="22" s="1"/>
  <c r="AT74" i="22" s="1"/>
  <c r="AJ74" i="22"/>
  <c r="AK74" i="22" s="1"/>
  <c r="AP74" i="22"/>
  <c r="AR74" i="22"/>
  <c r="AS74" i="22"/>
  <c r="AC75" i="22"/>
  <c r="AH96" i="22" s="1"/>
  <c r="AG75" i="22"/>
  <c r="AH75" i="22" s="1"/>
  <c r="AQ75" i="22" s="1"/>
  <c r="AT75" i="22" s="1"/>
  <c r="AJ75" i="22"/>
  <c r="AR75" i="22"/>
  <c r="AS75" i="22" s="1"/>
  <c r="AC76" i="22"/>
  <c r="AG76" i="22"/>
  <c r="AP76" i="22" s="1"/>
  <c r="AJ76" i="22"/>
  <c r="AC77" i="22"/>
  <c r="AH98" i="22" s="1"/>
  <c r="AG77" i="22"/>
  <c r="AH77" i="22" s="1"/>
  <c r="AQ77" i="22" s="1"/>
  <c r="AJ77" i="22"/>
  <c r="AP77" i="22"/>
  <c r="AC78" i="22"/>
  <c r="AG78" i="22"/>
  <c r="AH78" i="22"/>
  <c r="AJ78" i="22"/>
  <c r="AP78" i="22"/>
  <c r="AC79" i="22"/>
  <c r="AH100" i="22" s="1"/>
  <c r="AG79" i="22"/>
  <c r="AH79" i="22" s="1"/>
  <c r="AQ79" i="22" s="1"/>
  <c r="AT79" i="22" s="1"/>
  <c r="AJ79" i="22"/>
  <c r="AR79" i="22"/>
  <c r="AS79" i="22" s="1"/>
  <c r="AC80" i="22"/>
  <c r="AG80" i="22"/>
  <c r="AP80" i="22" s="1"/>
  <c r="AJ80" i="22"/>
  <c r="AR80" i="22"/>
  <c r="AS80" i="22"/>
  <c r="AC81" i="22"/>
  <c r="AH102" i="22" s="1"/>
  <c r="AN102" i="22" s="1"/>
  <c r="AN125" i="22" s="1"/>
  <c r="AM148" i="22" s="1"/>
  <c r="AG81" i="22"/>
  <c r="AH81" i="22"/>
  <c r="AQ81" i="22" s="1"/>
  <c r="AJ81" i="22"/>
  <c r="AP81" i="22"/>
  <c r="AR81" i="22"/>
  <c r="AS81" i="22"/>
  <c r="AT81" i="22"/>
  <c r="AC82" i="22"/>
  <c r="AG82" i="22"/>
  <c r="AH82" i="22"/>
  <c r="AJ82" i="22"/>
  <c r="AP82" i="22"/>
  <c r="AS82" i="22"/>
  <c r="AC83" i="22"/>
  <c r="AG83" i="22"/>
  <c r="AH83" i="22" s="1"/>
  <c r="AQ83" i="22" s="1"/>
  <c r="AJ83" i="22"/>
  <c r="AC84" i="22"/>
  <c r="AG84" i="22"/>
  <c r="AH84" i="22"/>
  <c r="AC89" i="22"/>
  <c r="AC90" i="22"/>
  <c r="AI90" i="22" s="1"/>
  <c r="AG90" i="22"/>
  <c r="AM90" i="22" s="1"/>
  <c r="AM113" i="22" s="1"/>
  <c r="AO90" i="22"/>
  <c r="AP90" i="22"/>
  <c r="AC91" i="22"/>
  <c r="AG91" i="22"/>
  <c r="AI91" i="22"/>
  <c r="AM91" i="22"/>
  <c r="AO91" i="22"/>
  <c r="AP91" i="22"/>
  <c r="AP114" i="22" s="1"/>
  <c r="AC92" i="22"/>
  <c r="AI92" i="22" s="1"/>
  <c r="AO92" i="22" s="1"/>
  <c r="AG92" i="22"/>
  <c r="AM92" i="22" s="1"/>
  <c r="AM115" i="22" s="1"/>
  <c r="AP92" i="22"/>
  <c r="AP115" i="22" s="1"/>
  <c r="AC93" i="22"/>
  <c r="AG93" i="22"/>
  <c r="AM93" i="22" s="1"/>
  <c r="AM116" i="22" s="1"/>
  <c r="AH93" i="22"/>
  <c r="AI93" i="22"/>
  <c r="AC94" i="22"/>
  <c r="AG94" i="22"/>
  <c r="AM94" i="22" s="1"/>
  <c r="AH94" i="22"/>
  <c r="AN94" i="22" s="1"/>
  <c r="AN117" i="22" s="1"/>
  <c r="AM140" i="22" s="1"/>
  <c r="AI94" i="22"/>
  <c r="AO94" i="22"/>
  <c r="AP94" i="22"/>
  <c r="AC95" i="22"/>
  <c r="AG95" i="22"/>
  <c r="AI95" i="22"/>
  <c r="AM95" i="22"/>
  <c r="AO95" i="22"/>
  <c r="AP95" i="22"/>
  <c r="AC96" i="22"/>
  <c r="AI96" i="22" s="1"/>
  <c r="AO96" i="22" s="1"/>
  <c r="AG96" i="22"/>
  <c r="AM96" i="22"/>
  <c r="AM119" i="22" s="1"/>
  <c r="AN96" i="22"/>
  <c r="AN119" i="22" s="1"/>
  <c r="AP96" i="22"/>
  <c r="AC97" i="22"/>
  <c r="AI97" i="22" s="1"/>
  <c r="AO97" i="22" s="1"/>
  <c r="AG97" i="22"/>
  <c r="AM97" i="22" s="1"/>
  <c r="AH97" i="22"/>
  <c r="AN97" i="22"/>
  <c r="AN120" i="22" s="1"/>
  <c r="AU120" i="22" s="1"/>
  <c r="AP97" i="22"/>
  <c r="AC98" i="22"/>
  <c r="AI98" i="22" s="1"/>
  <c r="AG98" i="22"/>
  <c r="AM98" i="22"/>
  <c r="AP98" i="22"/>
  <c r="AC99" i="22"/>
  <c r="AG99" i="22"/>
  <c r="AH99" i="22"/>
  <c r="AI99" i="22"/>
  <c r="AM99" i="22"/>
  <c r="AN99" i="22"/>
  <c r="AN122" i="22" s="1"/>
  <c r="AO99" i="22"/>
  <c r="AP99" i="22"/>
  <c r="AP122" i="22" s="1"/>
  <c r="AC100" i="22"/>
  <c r="AG100" i="22"/>
  <c r="AM100" i="22" s="1"/>
  <c r="AM123" i="22" s="1"/>
  <c r="AI100" i="22"/>
  <c r="AP100" i="22"/>
  <c r="AC101" i="22"/>
  <c r="AG101" i="22"/>
  <c r="AH101" i="22"/>
  <c r="AN101" i="22" s="1"/>
  <c r="AN124" i="22" s="1"/>
  <c r="AI101" i="22"/>
  <c r="AM101" i="22"/>
  <c r="AO101" i="22"/>
  <c r="AP101" i="22"/>
  <c r="AC102" i="22"/>
  <c r="AI102" i="22" s="1"/>
  <c r="AO102" i="22" s="1"/>
  <c r="AG102" i="22"/>
  <c r="AM102" i="22"/>
  <c r="AP102" i="22"/>
  <c r="AC103" i="22"/>
  <c r="AG103" i="22"/>
  <c r="AH103" i="22"/>
  <c r="AN103" i="22" s="1"/>
  <c r="AN126" i="22" s="1"/>
  <c r="AI103" i="22"/>
  <c r="AM103" i="22"/>
  <c r="AO103" i="22"/>
  <c r="AP103" i="22"/>
  <c r="AC104" i="22"/>
  <c r="AI104" i="22" s="1"/>
  <c r="AO104" i="22" s="1"/>
  <c r="AG104" i="22"/>
  <c r="AH104" i="22"/>
  <c r="AM104" i="22"/>
  <c r="AM127" i="22" s="1"/>
  <c r="AN104" i="22"/>
  <c r="AN127" i="22" s="1"/>
  <c r="AP104" i="22"/>
  <c r="AO113" i="22"/>
  <c r="AN136" i="22" s="1"/>
  <c r="AP113" i="22"/>
  <c r="AT113" i="22"/>
  <c r="AU113" i="22"/>
  <c r="AV113" i="22"/>
  <c r="AW113" i="22"/>
  <c r="BN113" i="22" s="1"/>
  <c r="BM113" i="22"/>
  <c r="BZ113" i="22"/>
  <c r="CF113" i="22"/>
  <c r="CG113" i="22"/>
  <c r="CH113" i="22"/>
  <c r="AM114" i="22"/>
  <c r="AO114" i="22"/>
  <c r="AT114" i="22"/>
  <c r="AU114" i="22"/>
  <c r="AV114" i="22"/>
  <c r="BM114" i="22"/>
  <c r="BZ114" i="22"/>
  <c r="CF114" i="22"/>
  <c r="CG114" i="22"/>
  <c r="CH114" i="22"/>
  <c r="AL115" i="22"/>
  <c r="AO115" i="22"/>
  <c r="AN138" i="22" s="1"/>
  <c r="AT115" i="22"/>
  <c r="AV115" i="22"/>
  <c r="BM115" i="22"/>
  <c r="BZ115" i="22"/>
  <c r="CF115" i="22"/>
  <c r="CG115" i="22"/>
  <c r="CH115" i="22"/>
  <c r="AL116" i="22"/>
  <c r="AL139" i="22" s="1"/>
  <c r="AN116" i="22"/>
  <c r="AO116" i="22"/>
  <c r="AN139" i="22" s="1"/>
  <c r="AP116" i="22"/>
  <c r="AW116" i="22" s="1"/>
  <c r="BN116" i="22" s="1"/>
  <c r="AT116" i="22"/>
  <c r="AU116" i="22"/>
  <c r="AV116" i="22"/>
  <c r="BM116" i="22"/>
  <c r="BZ116" i="22"/>
  <c r="CF116" i="22"/>
  <c r="CI116" i="22" s="1"/>
  <c r="CG116" i="22"/>
  <c r="CH116" i="22"/>
  <c r="AL117" i="22"/>
  <c r="AM117" i="22"/>
  <c r="AO117" i="22"/>
  <c r="AN140" i="22" s="1"/>
  <c r="AP117" i="22"/>
  <c r="AW117" i="22" s="1"/>
  <c r="BN117" i="22" s="1"/>
  <c r="AT117" i="22"/>
  <c r="AV117" i="22"/>
  <c r="BM117" i="22"/>
  <c r="BZ117" i="22"/>
  <c r="CF117" i="22"/>
  <c r="CI117" i="22" s="1"/>
  <c r="CG117" i="22"/>
  <c r="CH117" i="22"/>
  <c r="AM118" i="22"/>
  <c r="AO118" i="22"/>
  <c r="AN141" i="22" s="1"/>
  <c r="AP118" i="22"/>
  <c r="AW118" i="22" s="1"/>
  <c r="BN118" i="22" s="1"/>
  <c r="AT118" i="22"/>
  <c r="AU118" i="22"/>
  <c r="AV118" i="22"/>
  <c r="BM118" i="22"/>
  <c r="BZ118" i="22"/>
  <c r="CF118" i="22"/>
  <c r="CI118" i="22" s="1"/>
  <c r="CG118" i="22"/>
  <c r="CH118" i="22"/>
  <c r="AL119" i="22"/>
  <c r="AO119" i="22"/>
  <c r="AN142" i="22" s="1"/>
  <c r="AP119" i="22"/>
  <c r="AW119" i="22" s="1"/>
  <c r="BN119" i="22" s="1"/>
  <c r="AT119" i="22"/>
  <c r="AU119" i="22"/>
  <c r="AV119" i="22"/>
  <c r="BY119" i="22"/>
  <c r="BZ119" i="22"/>
  <c r="CF119" i="22"/>
  <c r="CG119" i="22"/>
  <c r="CH119" i="22"/>
  <c r="CI119" i="22"/>
  <c r="CJ119" i="22"/>
  <c r="AL120" i="22"/>
  <c r="AL143" i="22" s="1"/>
  <c r="AM120" i="22"/>
  <c r="AO120" i="22"/>
  <c r="AP120" i="22"/>
  <c r="AT120" i="22"/>
  <c r="AV120" i="22"/>
  <c r="AW120" i="22"/>
  <c r="BN120" i="22" s="1"/>
  <c r="BZ120" i="22"/>
  <c r="CF120" i="22"/>
  <c r="CG120" i="22"/>
  <c r="CH120" i="22"/>
  <c r="CI120" i="22"/>
  <c r="AM121" i="22"/>
  <c r="AN121" i="22"/>
  <c r="AO121" i="22"/>
  <c r="AN144" i="22" s="1"/>
  <c r="AP121" i="22"/>
  <c r="AT121" i="22"/>
  <c r="AU121" i="22"/>
  <c r="AV121" i="22"/>
  <c r="AW121" i="22"/>
  <c r="BN121" i="22" s="1"/>
  <c r="BM121" i="22"/>
  <c r="BZ121" i="22"/>
  <c r="CF121" i="22"/>
  <c r="CI121" i="22" s="1"/>
  <c r="CG121" i="22"/>
  <c r="CH121" i="22"/>
  <c r="AM122" i="22"/>
  <c r="AO122" i="22"/>
  <c r="AT122" i="22"/>
  <c r="AU122" i="22"/>
  <c r="AV122" i="22"/>
  <c r="BM122" i="22"/>
  <c r="BZ122" i="22"/>
  <c r="CF122" i="22"/>
  <c r="CI122" i="22" s="1"/>
  <c r="CG122" i="22"/>
  <c r="CH122" i="22"/>
  <c r="AN123" i="22"/>
  <c r="AO123" i="22"/>
  <c r="AN146" i="22" s="1"/>
  <c r="AP123" i="22"/>
  <c r="AW123" i="22" s="1"/>
  <c r="BN123" i="22" s="1"/>
  <c r="AT123" i="22"/>
  <c r="AU123" i="22"/>
  <c r="AV123" i="22"/>
  <c r="BM123" i="22"/>
  <c r="BZ123" i="22"/>
  <c r="CA123" i="22"/>
  <c r="CF123" i="22"/>
  <c r="CI123" i="22" s="1"/>
  <c r="CG123" i="22"/>
  <c r="CH123" i="22"/>
  <c r="AM124" i="22"/>
  <c r="AO124" i="22"/>
  <c r="AN147" i="22" s="1"/>
  <c r="AP124" i="22"/>
  <c r="AW124" i="22" s="1"/>
  <c r="BN124" i="22" s="1"/>
  <c r="AT124" i="22"/>
  <c r="AV124" i="22"/>
  <c r="BM124" i="22"/>
  <c r="BZ124" i="22"/>
  <c r="CF124" i="22"/>
  <c r="CI124" i="22" s="1"/>
  <c r="CG124" i="22"/>
  <c r="CH124" i="22"/>
  <c r="AM125" i="22"/>
  <c r="AO125" i="22"/>
  <c r="AN148" i="22" s="1"/>
  <c r="AP125" i="22"/>
  <c r="AW125" i="22" s="1"/>
  <c r="BN125" i="22" s="1"/>
  <c r="AT125" i="22"/>
  <c r="AV125" i="22"/>
  <c r="BM125" i="22"/>
  <c r="BZ125" i="22"/>
  <c r="CF125" i="22"/>
  <c r="CI125" i="22" s="1"/>
  <c r="CG125" i="22"/>
  <c r="CH125" i="22"/>
  <c r="AM126" i="22"/>
  <c r="AO126" i="22"/>
  <c r="AN149" i="22" s="1"/>
  <c r="AP126" i="22"/>
  <c r="AW126" i="22" s="1"/>
  <c r="BN126" i="22" s="1"/>
  <c r="AT126" i="22"/>
  <c r="AV126" i="22"/>
  <c r="BM126" i="22"/>
  <c r="BY126" i="22"/>
  <c r="CC126" i="22" s="1"/>
  <c r="BZ126" i="22"/>
  <c r="CA126" i="22"/>
  <c r="CF126" i="22"/>
  <c r="CI126" i="22" s="1"/>
  <c r="CG126" i="22"/>
  <c r="CH126" i="22"/>
  <c r="CJ126" i="22"/>
  <c r="AO127" i="22"/>
  <c r="AN150" i="22" s="1"/>
  <c r="AP127" i="22"/>
  <c r="AW127" i="22" s="1"/>
  <c r="BN127" i="22" s="1"/>
  <c r="AT127" i="22"/>
  <c r="AU127" i="22"/>
  <c r="AV127" i="22"/>
  <c r="BM127" i="22"/>
  <c r="BO127" i="22"/>
  <c r="BZ127" i="22"/>
  <c r="CA127" i="22"/>
  <c r="CF127" i="22"/>
  <c r="CG127" i="22"/>
  <c r="CH127" i="22"/>
  <c r="CI127" i="22"/>
  <c r="CK127" i="22"/>
  <c r="BA128" i="22" a="1"/>
  <c r="BB128" i="22"/>
  <c r="BG128" i="22" a="1"/>
  <c r="BR128" i="22" a="1"/>
  <c r="BS132" i="22" s="1"/>
  <c r="BR128" i="22"/>
  <c r="BS128" i="22"/>
  <c r="BB129" i="22"/>
  <c r="BR129" i="22"/>
  <c r="BA130" i="22"/>
  <c r="BB130" i="22"/>
  <c r="BR130" i="22"/>
  <c r="BS130" i="22"/>
  <c r="BA131" i="22"/>
  <c r="BR131" i="22"/>
  <c r="BS131" i="22"/>
  <c r="BR132" i="22"/>
  <c r="AM136" i="22"/>
  <c r="AO136" i="22"/>
  <c r="AM160" i="22" s="1"/>
  <c r="BF136" i="22"/>
  <c r="BN136" i="22"/>
  <c r="AM137" i="22"/>
  <c r="AN137" i="22"/>
  <c r="BF137" i="22"/>
  <c r="BC153" i="22" s="1" a="1"/>
  <c r="BN137" i="22"/>
  <c r="AL138" i="22"/>
  <c r="BF138" i="22"/>
  <c r="BN138" i="22"/>
  <c r="BL153" i="22" s="1" a="1"/>
  <c r="AM139" i="22"/>
  <c r="AO139" i="22"/>
  <c r="BF139" i="22"/>
  <c r="BN139" i="22"/>
  <c r="AL140" i="22"/>
  <c r="AO140" i="22"/>
  <c r="AM164" i="22" s="1"/>
  <c r="BF140" i="22"/>
  <c r="BN140" i="22"/>
  <c r="AM141" i="22"/>
  <c r="BF141" i="22"/>
  <c r="BN141" i="22"/>
  <c r="AL142" i="22"/>
  <c r="AM142" i="22"/>
  <c r="BF142" i="22"/>
  <c r="BN142" i="22"/>
  <c r="AN143" i="22"/>
  <c r="AO143" i="22"/>
  <c r="AM167" i="22" s="1"/>
  <c r="BF143" i="22"/>
  <c r="BN143" i="22"/>
  <c r="AM144" i="22"/>
  <c r="AO144" i="22"/>
  <c r="AM168" i="22" s="1"/>
  <c r="BF144" i="22"/>
  <c r="BN144" i="22"/>
  <c r="AM145" i="22"/>
  <c r="AN145" i="22"/>
  <c r="BF145" i="22"/>
  <c r="BN145" i="22"/>
  <c r="AM146" i="22"/>
  <c r="BF146" i="22"/>
  <c r="BN146" i="22"/>
  <c r="BF147" i="22"/>
  <c r="BN147" i="22"/>
  <c r="BF148" i="22"/>
  <c r="BN148" i="22"/>
  <c r="BF149" i="22"/>
  <c r="BN149" i="22"/>
  <c r="AM150" i="22"/>
  <c r="BF150" i="22"/>
  <c r="BN150" i="22"/>
  <c r="AT153" i="22" a="1"/>
  <c r="AT153" i="22"/>
  <c r="AU153" i="22"/>
  <c r="AU159" i="22" s="1"/>
  <c r="AW153" i="22"/>
  <c r="AU154" i="22"/>
  <c r="AV154" i="22"/>
  <c r="AW154" i="22"/>
  <c r="AU155" i="22"/>
  <c r="AV155" i="22"/>
  <c r="AW155" i="22"/>
  <c r="AU156" i="22"/>
  <c r="AV156" i="22"/>
  <c r="AW156" i="22"/>
  <c r="AU157" i="22"/>
  <c r="AV157" i="22"/>
  <c r="AW157" i="22"/>
  <c r="AM163" i="22"/>
  <c r="AV46" i="22" l="1"/>
  <c r="AV44" i="22"/>
  <c r="AV49" i="22"/>
  <c r="AF55" i="22"/>
  <c r="AQ55" i="22" s="1"/>
  <c r="AV55" i="22" s="1"/>
  <c r="AV53" i="22"/>
  <c r="AV50" i="22"/>
  <c r="AV47" i="22"/>
  <c r="AQ42" i="22"/>
  <c r="AV42" i="22" s="1"/>
  <c r="AQ48" i="22"/>
  <c r="AV48" i="22" s="1"/>
  <c r="AV45" i="22"/>
  <c r="AO145" i="22"/>
  <c r="AM169" i="22" s="1"/>
  <c r="AW122" i="22"/>
  <c r="BN122" i="22" s="1"/>
  <c r="AU124" i="22"/>
  <c r="AM147" i="22"/>
  <c r="AO137" i="22"/>
  <c r="AM161" i="22" s="1"/>
  <c r="AW114" i="22"/>
  <c r="BN114" i="22" s="1"/>
  <c r="BL153" i="22"/>
  <c r="BL154" i="22"/>
  <c r="BL155" i="22"/>
  <c r="BL156" i="22"/>
  <c r="BL157" i="22"/>
  <c r="BM153" i="22"/>
  <c r="BM154" i="22"/>
  <c r="BM155" i="22"/>
  <c r="BM156" i="22"/>
  <c r="BM157" i="22"/>
  <c r="BN153" i="22"/>
  <c r="BN154" i="22"/>
  <c r="BN155" i="22"/>
  <c r="BN156" i="22"/>
  <c r="BN157" i="22"/>
  <c r="BO153" i="22"/>
  <c r="BO154" i="22"/>
  <c r="BO155" i="22"/>
  <c r="BO156" i="22"/>
  <c r="BO157" i="22"/>
  <c r="BD153" i="22"/>
  <c r="BC154" i="22"/>
  <c r="BC155" i="22"/>
  <c r="BC156" i="22"/>
  <c r="BC157" i="22"/>
  <c r="BF154" i="22"/>
  <c r="BF155" i="22"/>
  <c r="BF156" i="22"/>
  <c r="BF157" i="22"/>
  <c r="BC153" i="22"/>
  <c r="BE153" i="22"/>
  <c r="BD154" i="22"/>
  <c r="BD155" i="22"/>
  <c r="BD156" i="22"/>
  <c r="BD157" i="22"/>
  <c r="BF153" i="22"/>
  <c r="BE154" i="22"/>
  <c r="BE155" i="22"/>
  <c r="BE156" i="22"/>
  <c r="BE157" i="22"/>
  <c r="AM149" i="22"/>
  <c r="AU126" i="22"/>
  <c r="AO138" i="22"/>
  <c r="AM162" i="22" s="1"/>
  <c r="AW115" i="22"/>
  <c r="BN115" i="22" s="1"/>
  <c r="AU115" i="22"/>
  <c r="AM138" i="22"/>
  <c r="AY141" i="22"/>
  <c r="BU113" i="22"/>
  <c r="BU114" i="22"/>
  <c r="BU115" i="22"/>
  <c r="BH128" i="22"/>
  <c r="BG129" i="22"/>
  <c r="BH130" i="22"/>
  <c r="BG131" i="22"/>
  <c r="BU120" i="22"/>
  <c r="BU119" i="22"/>
  <c r="BU117" i="22"/>
  <c r="BU116" i="22"/>
  <c r="AQ82" i="22"/>
  <c r="AT82" i="22" s="1"/>
  <c r="AK82" i="22"/>
  <c r="AI42" i="22"/>
  <c r="AO69" i="22"/>
  <c r="AU69" i="22" s="1"/>
  <c r="AV69" i="22" s="1"/>
  <c r="AR49" i="22"/>
  <c r="AW49" i="22" s="1"/>
  <c r="BA49" i="22"/>
  <c r="BR49" i="22" s="1"/>
  <c r="AW159" i="22"/>
  <c r="AO150" i="22"/>
  <c r="AM174" i="22" s="1"/>
  <c r="AO149" i="22"/>
  <c r="AM173" i="22" s="1"/>
  <c r="AY146" i="22"/>
  <c r="AO142" i="22"/>
  <c r="AM166" i="22" s="1"/>
  <c r="AO141" i="22"/>
  <c r="AM165" i="22" s="1"/>
  <c r="AY138" i="22"/>
  <c r="BH132" i="22"/>
  <c r="BH129" i="22"/>
  <c r="AU125" i="22"/>
  <c r="CJ124" i="22"/>
  <c r="BU118" i="22"/>
  <c r="AU117" i="22"/>
  <c r="AT73" i="22"/>
  <c r="BE45" i="22"/>
  <c r="BS45" i="22"/>
  <c r="AO148" i="22"/>
  <c r="AM172" i="22" s="1"/>
  <c r="AO147" i="22"/>
  <c r="AM171" i="22" s="1"/>
  <c r="AM143" i="22"/>
  <c r="AY137" i="22"/>
  <c r="BG132" i="22"/>
  <c r="BH131" i="22"/>
  <c r="BA128" i="22"/>
  <c r="BB132" i="22"/>
  <c r="BU126" i="22"/>
  <c r="BU125" i="22"/>
  <c r="BU124" i="22"/>
  <c r="BU123" i="22"/>
  <c r="BM120" i="22"/>
  <c r="BM119" i="22"/>
  <c r="CI114" i="22"/>
  <c r="CI113" i="22"/>
  <c r="AP83" i="22"/>
  <c r="AP79" i="22"/>
  <c r="AP75" i="22"/>
  <c r="BA54" i="22"/>
  <c r="BR54" i="22" s="1"/>
  <c r="AR54" i="22"/>
  <c r="AW54" i="22" s="1"/>
  <c r="BA47" i="22"/>
  <c r="BR47" i="22" s="1"/>
  <c r="AR47" i="22"/>
  <c r="AW47" i="22" s="1"/>
  <c r="AH43" i="22"/>
  <c r="BA42" i="22"/>
  <c r="AS49" i="22"/>
  <c r="BC49" i="22"/>
  <c r="AK46" i="22"/>
  <c r="AH47" i="22"/>
  <c r="BS44" i="22"/>
  <c r="AX114" i="22"/>
  <c r="BO114" i="22" s="1"/>
  <c r="CK114" i="22"/>
  <c r="AV153" i="22"/>
  <c r="AV159" i="22" s="1"/>
  <c r="AT154" i="22"/>
  <c r="AT159" i="22" s="1"/>
  <c r="AT155" i="22"/>
  <c r="AT156" i="22"/>
  <c r="AT157" i="22"/>
  <c r="AY150" i="22"/>
  <c r="AO146" i="22"/>
  <c r="AM170" i="22" s="1"/>
  <c r="BA132" i="22"/>
  <c r="BB131" i="22"/>
  <c r="BG130" i="22"/>
  <c r="BS129" i="22"/>
  <c r="BA129" i="22"/>
  <c r="BG128" i="22"/>
  <c r="BU122" i="22"/>
  <c r="BU121" i="22"/>
  <c r="BD121" i="22"/>
  <c r="CI115" i="22"/>
  <c r="CA114" i="22"/>
  <c r="AK83" i="22"/>
  <c r="AH80" i="22"/>
  <c r="AK79" i="22"/>
  <c r="AQ78" i="22"/>
  <c r="AK78" i="22"/>
  <c r="AH76" i="22"/>
  <c r="AK75" i="22"/>
  <c r="AK73" i="22"/>
  <c r="AQ72" i="22"/>
  <c r="AL68" i="22"/>
  <c r="BA55" i="22"/>
  <c r="BR55" i="22" s="1"/>
  <c r="AR55" i="22"/>
  <c r="AW55" i="22" s="1"/>
  <c r="AT83" i="22"/>
  <c r="AX126" i="22"/>
  <c r="BO126" i="22" s="1"/>
  <c r="CK126" i="22"/>
  <c r="AH52" i="22"/>
  <c r="AR78" i="22"/>
  <c r="AS78" i="22" s="1"/>
  <c r="AK51" i="22"/>
  <c r="AH50" i="22"/>
  <c r="AR76" i="22"/>
  <c r="AS76" i="22" s="1"/>
  <c r="AX118" i="22"/>
  <c r="BO118" i="22" s="1"/>
  <c r="CK118" i="22"/>
  <c r="CA118" i="22"/>
  <c r="AT72" i="22"/>
  <c r="AV54" i="22"/>
  <c r="AV51" i="22"/>
  <c r="BE42" i="22"/>
  <c r="AK53" i="22"/>
  <c r="AH54" i="22"/>
  <c r="AK50" i="22"/>
  <c r="AH51" i="22"/>
  <c r="AX117" i="22"/>
  <c r="BO117" i="22" s="1"/>
  <c r="CK117" i="22"/>
  <c r="AR44" i="22"/>
  <c r="AW44" i="22" s="1"/>
  <c r="BA44" i="22"/>
  <c r="BR44" i="22" s="1"/>
  <c r="AK13" i="22"/>
  <c r="AK14" i="22"/>
  <c r="AK15" i="22"/>
  <c r="AK16" i="22"/>
  <c r="AK17" i="22"/>
  <c r="AK18" i="22"/>
  <c r="AK19" i="22"/>
  <c r="AK20" i="22"/>
  <c r="AK22" i="22"/>
  <c r="AK24" i="22"/>
  <c r="AJ13" i="22"/>
  <c r="AJ15" i="22"/>
  <c r="AJ17" i="22"/>
  <c r="AJ19" i="22"/>
  <c r="AL21" i="22"/>
  <c r="AL22" i="22"/>
  <c r="AK23" i="22"/>
  <c r="AJ24" i="22"/>
  <c r="AK25" i="22"/>
  <c r="AL26" i="22"/>
  <c r="AJ28" i="22"/>
  <c r="AK29" i="22"/>
  <c r="AL14" i="22"/>
  <c r="AL17" i="22"/>
  <c r="AJ20" i="22"/>
  <c r="AJ21" i="22"/>
  <c r="AJ22" i="22"/>
  <c r="AL23" i="22"/>
  <c r="AJ25" i="22"/>
  <c r="AK27" i="22"/>
  <c r="AJ29" i="22"/>
  <c r="CK123" i="22"/>
  <c r="CA117" i="22"/>
  <c r="AK81" i="22"/>
  <c r="AR77" i="22"/>
  <c r="AS77" i="22" s="1"/>
  <c r="AT77" i="22" s="1"/>
  <c r="AK77" i="22"/>
  <c r="BQ56" i="22"/>
  <c r="BQ54" i="22"/>
  <c r="BC47" i="22"/>
  <c r="AH45" i="22"/>
  <c r="AR43" i="22"/>
  <c r="AW43" i="22" s="1"/>
  <c r="BA43" i="22"/>
  <c r="BR43" i="22" s="1"/>
  <c r="AL27" i="22"/>
  <c r="AL24" i="22"/>
  <c r="AK48" i="22"/>
  <c r="AH49" i="22"/>
  <c r="AL18" i="22"/>
  <c r="AS43" i="22"/>
  <c r="BC43" i="22"/>
  <c r="AL15" i="22"/>
  <c r="BQ51" i="22"/>
  <c r="BQ47" i="22"/>
  <c r="BQ45" i="22"/>
  <c r="AF13" i="22"/>
  <c r="AE14" i="22"/>
  <c r="AE15" i="22"/>
  <c r="AE16" i="22"/>
  <c r="AE17" i="22"/>
  <c r="AE18" i="22"/>
  <c r="AE19" i="22"/>
  <c r="AE20" i="22"/>
  <c r="AG21" i="22"/>
  <c r="AE22" i="22"/>
  <c r="AG23" i="22"/>
  <c r="AE24" i="22"/>
  <c r="AG25" i="22"/>
  <c r="AG26" i="22"/>
  <c r="AG27" i="22"/>
  <c r="AG28" i="22"/>
  <c r="AG29" i="22"/>
  <c r="BC56" i="22" s="1"/>
  <c r="BN26" i="20"/>
  <c r="BO26" i="20"/>
  <c r="BP26" i="20"/>
  <c r="BQ26" i="20"/>
  <c r="BM26" i="20"/>
  <c r="AS53" i="22" l="1"/>
  <c r="BC53" i="22"/>
  <c r="AX116" i="22"/>
  <c r="BO116" i="22" s="1"/>
  <c r="CK116" i="22"/>
  <c r="CA116" i="22"/>
  <c r="AX125" i="22"/>
  <c r="BO125" i="22" s="1"/>
  <c r="CK125" i="22"/>
  <c r="CA125" i="22"/>
  <c r="CC125" i="22" s="1"/>
  <c r="AX121" i="22"/>
  <c r="BO121" i="22" s="1"/>
  <c r="CK121" i="22"/>
  <c r="CA121" i="22"/>
  <c r="AX115" i="22"/>
  <c r="BO115" i="22" s="1"/>
  <c r="CK115" i="22"/>
  <c r="CA115" i="22"/>
  <c r="CC115" i="22" s="1"/>
  <c r="AX124" i="22"/>
  <c r="BO124" i="22" s="1"/>
  <c r="CK124" i="22"/>
  <c r="CA124" i="22"/>
  <c r="CC124" i="22" s="1"/>
  <c r="AX120" i="22"/>
  <c r="BO120" i="22" s="1"/>
  <c r="CK120" i="22"/>
  <c r="CA120" i="22"/>
  <c r="CJ118" i="22"/>
  <c r="BY118" i="22"/>
  <c r="CC118" i="22" s="1"/>
  <c r="CJ114" i="22"/>
  <c r="BY114" i="22"/>
  <c r="CC114" i="22"/>
  <c r="BE44" i="22"/>
  <c r="BS49" i="22"/>
  <c r="BE49" i="22"/>
  <c r="BD118" i="22"/>
  <c r="BD119" i="22"/>
  <c r="BD120" i="22"/>
  <c r="BD114" i="22"/>
  <c r="AI43" i="22"/>
  <c r="AO70" i="22"/>
  <c r="AU70" i="22" s="1"/>
  <c r="AV70" i="22" s="1"/>
  <c r="BS56" i="22"/>
  <c r="BE56" i="22"/>
  <c r="BC52" i="22"/>
  <c r="AS52" i="22"/>
  <c r="BC48" i="22"/>
  <c r="AS48" i="22"/>
  <c r="AX113" i="22"/>
  <c r="BO113" i="22" s="1"/>
  <c r="CK113" i="22"/>
  <c r="CA113" i="22"/>
  <c r="CC113" i="22" s="1"/>
  <c r="BE47" i="22"/>
  <c r="BS47" i="22"/>
  <c r="BY123" i="22"/>
  <c r="CC123" i="22" s="1"/>
  <c r="CJ123" i="22"/>
  <c r="AX119" i="22"/>
  <c r="BO119" i="22" s="1"/>
  <c r="CK119" i="22"/>
  <c r="CA119" i="22"/>
  <c r="CC119" i="22" s="1"/>
  <c r="BY117" i="22"/>
  <c r="CJ117" i="22"/>
  <c r="CJ113" i="22"/>
  <c r="CG129" i="22" s="1" a="1"/>
  <c r="BY113" i="22"/>
  <c r="AR50" i="22"/>
  <c r="AW50" i="22" s="1"/>
  <c r="BA50" i="22"/>
  <c r="BR50" i="22" s="1"/>
  <c r="BA51" i="22"/>
  <c r="AR51" i="22"/>
  <c r="AW51" i="22" s="1"/>
  <c r="BD124" i="22"/>
  <c r="BD126" i="22"/>
  <c r="BD113" i="22"/>
  <c r="AY139" i="22"/>
  <c r="AY147" i="22"/>
  <c r="AY148" i="22"/>
  <c r="BH138" i="22"/>
  <c r="BH139" i="22"/>
  <c r="BH146" i="22"/>
  <c r="BH147" i="22"/>
  <c r="BH140" i="22"/>
  <c r="BH141" i="22"/>
  <c r="BH148" i="22"/>
  <c r="BH149" i="22"/>
  <c r="BH142" i="22"/>
  <c r="BH143" i="22"/>
  <c r="BH150" i="22"/>
  <c r="BH136" i="22"/>
  <c r="BH137" i="22"/>
  <c r="BH144" i="22"/>
  <c r="BH145" i="22"/>
  <c r="BC55" i="22"/>
  <c r="AS55" i="22"/>
  <c r="BS43" i="22"/>
  <c r="BE43" i="22"/>
  <c r="AR48" i="22"/>
  <c r="AW48" i="22" s="1"/>
  <c r="BA48" i="22"/>
  <c r="BR48" i="22" s="1"/>
  <c r="BY125" i="22"/>
  <c r="CJ125" i="22"/>
  <c r="BY127" i="22"/>
  <c r="CC127" i="22" s="1"/>
  <c r="CJ127" i="22"/>
  <c r="BY122" i="22"/>
  <c r="CJ122" i="22"/>
  <c r="BY116" i="22"/>
  <c r="CJ116" i="22"/>
  <c r="AT78" i="22"/>
  <c r="AF69" i="22"/>
  <c r="AL69" i="22" s="1"/>
  <c r="AF90" i="22"/>
  <c r="AL90" i="22" s="1"/>
  <c r="AQ76" i="22"/>
  <c r="AT76" i="22" s="1"/>
  <c r="AK76" i="22"/>
  <c r="AQ80" i="22"/>
  <c r="AT80" i="22" s="1"/>
  <c r="AK80" i="22"/>
  <c r="BD116" i="22"/>
  <c r="BD122" i="22"/>
  <c r="AY143" i="22"/>
  <c r="AY144" i="22"/>
  <c r="AY149" i="22"/>
  <c r="BP142" i="22"/>
  <c r="BP143" i="22"/>
  <c r="BP150" i="22"/>
  <c r="BP136" i="22"/>
  <c r="BP137" i="22"/>
  <c r="BP144" i="22"/>
  <c r="BP145" i="22"/>
  <c r="BP138" i="22"/>
  <c r="BP139" i="22"/>
  <c r="BP146" i="22"/>
  <c r="BP147" i="22"/>
  <c r="BP140" i="22"/>
  <c r="BP141" i="22"/>
  <c r="BP148" i="22"/>
  <c r="BP149" i="22"/>
  <c r="AS54" i="22"/>
  <c r="BC54" i="22"/>
  <c r="AS50" i="22"/>
  <c r="BC50" i="22"/>
  <c r="AX122" i="22"/>
  <c r="BO122" i="22" s="1"/>
  <c r="CK122" i="22"/>
  <c r="CA122" i="22"/>
  <c r="CC122" i="22" s="1"/>
  <c r="CC117" i="22"/>
  <c r="BY121" i="22"/>
  <c r="CJ121" i="22"/>
  <c r="BY120" i="22"/>
  <c r="CJ120" i="22"/>
  <c r="BY115" i="22"/>
  <c r="CJ115" i="22"/>
  <c r="AR53" i="22"/>
  <c r="AW53" i="22" s="1"/>
  <c r="BA53" i="22"/>
  <c r="BR53" i="22" s="1"/>
  <c r="BD117" i="22"/>
  <c r="AR46" i="22"/>
  <c r="AW46" i="22" s="1"/>
  <c r="AV58" i="22" s="1" a="1"/>
  <c r="BA46" i="22"/>
  <c r="BR42" i="22"/>
  <c r="BD123" i="22"/>
  <c r="BD125" i="22"/>
  <c r="AY136" i="22"/>
  <c r="AY145" i="22"/>
  <c r="BD115" i="22"/>
  <c r="BJ118" i="22"/>
  <c r="BJ119" i="22"/>
  <c r="BJ120" i="22"/>
  <c r="BJ116" i="22"/>
  <c r="BJ117" i="22"/>
  <c r="BJ121" i="22"/>
  <c r="BJ122" i="22"/>
  <c r="BJ115" i="22"/>
  <c r="BJ123" i="22"/>
  <c r="BJ124" i="22"/>
  <c r="BJ125" i="22"/>
  <c r="BJ126" i="22"/>
  <c r="BJ113" i="22"/>
  <c r="BJ114" i="22"/>
  <c r="AY140" i="22"/>
  <c r="AY142" i="22"/>
  <c r="BM20" i="20" a="1"/>
  <c r="BN20" i="20" s="1"/>
  <c r="CI130" i="22" l="1"/>
  <c r="CH131" i="22"/>
  <c r="CG132" i="22"/>
  <c r="CH133" i="22"/>
  <c r="CG129" i="22"/>
  <c r="CI132" i="22"/>
  <c r="CI133" i="22"/>
  <c r="CH129" i="22"/>
  <c r="CG130" i="22"/>
  <c r="CI129" i="22"/>
  <c r="CH130" i="22"/>
  <c r="CG131" i="22"/>
  <c r="CI131" i="22"/>
  <c r="CH132" i="22"/>
  <c r="CG133" i="22"/>
  <c r="AV58" i="22"/>
  <c r="AV60" i="22"/>
  <c r="AV61" i="22"/>
  <c r="AV62" i="22"/>
  <c r="AW60" i="22"/>
  <c r="AW61" i="22"/>
  <c r="AW62" i="22"/>
  <c r="AW58" i="22"/>
  <c r="AV59" i="22"/>
  <c r="AW59" i="22"/>
  <c r="BR46" i="22"/>
  <c r="BE46" i="22"/>
  <c r="BE50" i="22"/>
  <c r="BS50" i="22"/>
  <c r="BR51" i="22"/>
  <c r="BP58" i="22" s="1" a="1"/>
  <c r="BE51" i="22"/>
  <c r="BS52" i="22"/>
  <c r="BE52" i="22"/>
  <c r="BE53" i="22"/>
  <c r="BS53" i="22"/>
  <c r="AP58" i="22" a="1"/>
  <c r="AL113" i="22"/>
  <c r="BE55" i="22"/>
  <c r="BS55" i="22"/>
  <c r="CC116" i="22"/>
  <c r="BA58" i="22" a="1"/>
  <c r="BE54" i="22"/>
  <c r="BS54" i="22"/>
  <c r="AF91" i="22"/>
  <c r="AL91" i="22" s="1"/>
  <c r="AL114" i="22" s="1"/>
  <c r="AL137" i="22" s="1"/>
  <c r="AF70" i="22"/>
  <c r="AL70" i="22" s="1"/>
  <c r="BS48" i="22"/>
  <c r="BE48" i="22"/>
  <c r="CC120" i="22"/>
  <c r="BY129" i="22" a="1"/>
  <c r="AO71" i="22"/>
  <c r="AU71" i="22" s="1"/>
  <c r="AV71" i="22" s="1"/>
  <c r="AI44" i="22"/>
  <c r="CC121" i="22"/>
  <c r="BM24" i="20"/>
  <c r="BN23" i="20"/>
  <c r="BO22" i="20"/>
  <c r="BP21" i="20"/>
  <c r="BQ20" i="20"/>
  <c r="BM20" i="20"/>
  <c r="BP24" i="20"/>
  <c r="BQ23" i="20"/>
  <c r="BM23" i="20"/>
  <c r="BN22" i="20"/>
  <c r="BO21" i="20"/>
  <c r="BP20" i="20"/>
  <c r="BO24" i="20"/>
  <c r="BP23" i="20"/>
  <c r="BQ22" i="20"/>
  <c r="BM22" i="20"/>
  <c r="BN21" i="20"/>
  <c r="BO20" i="20"/>
  <c r="BQ24" i="20"/>
  <c r="BN24" i="20"/>
  <c r="BO23" i="20"/>
  <c r="BP22" i="20"/>
  <c r="BQ21" i="20"/>
  <c r="BM21" i="20"/>
  <c r="W4" i="20"/>
  <c r="BQ58" i="22" l="1"/>
  <c r="BQ59" i="22"/>
  <c r="BR58" i="22"/>
  <c r="BP59" i="22"/>
  <c r="BQ60" i="22"/>
  <c r="BQ61" i="22"/>
  <c r="BQ62" i="22"/>
  <c r="BP58" i="22"/>
  <c r="BR59" i="22"/>
  <c r="BR60" i="22"/>
  <c r="BR61" i="22"/>
  <c r="BR62" i="22"/>
  <c r="BP60" i="22"/>
  <c r="BP61" i="22"/>
  <c r="BP62" i="22"/>
  <c r="BZ130" i="22"/>
  <c r="BY131" i="22"/>
  <c r="BY133" i="22"/>
  <c r="CA130" i="22"/>
  <c r="BZ131" i="22"/>
  <c r="BY132" i="22"/>
  <c r="BY129" i="22"/>
  <c r="CA131" i="22"/>
  <c r="BZ132" i="22"/>
  <c r="BZ133" i="22"/>
  <c r="BZ129" i="22"/>
  <c r="CA132" i="22"/>
  <c r="CA133" i="22"/>
  <c r="CA129" i="22"/>
  <c r="BY130" i="22"/>
  <c r="AF92" i="22"/>
  <c r="AF71" i="22"/>
  <c r="AL71" i="22" s="1"/>
  <c r="BB58" i="22"/>
  <c r="BA59" i="22"/>
  <c r="BA58" i="22"/>
  <c r="BB59" i="22"/>
  <c r="BC60" i="22"/>
  <c r="BC61" i="22"/>
  <c r="BC62" i="22"/>
  <c r="BA60" i="22"/>
  <c r="BA61" i="22"/>
  <c r="BA62" i="22"/>
  <c r="BC58" i="22"/>
  <c r="BB60" i="22"/>
  <c r="BB61" i="22"/>
  <c r="BB62" i="22"/>
  <c r="BC59" i="22"/>
  <c r="AL136" i="22"/>
  <c r="AP58" i="22"/>
  <c r="AQ59" i="22"/>
  <c r="AR58" i="22"/>
  <c r="AP59" i="22"/>
  <c r="AR59" i="22"/>
  <c r="AP60" i="22"/>
  <c r="AP61" i="22"/>
  <c r="AP62" i="22"/>
  <c r="AR60" i="22"/>
  <c r="AR61" i="22"/>
  <c r="AR62" i="22"/>
  <c r="AQ58" i="22"/>
  <c r="AQ60" i="22"/>
  <c r="AQ61" i="22"/>
  <c r="AQ62" i="22"/>
  <c r="CL115" i="22"/>
  <c r="CL116" i="22"/>
  <c r="CL117" i="22"/>
  <c r="CL127" i="22"/>
  <c r="CL113" i="22"/>
  <c r="CL114" i="22"/>
  <c r="CL119" i="22"/>
  <c r="CL120" i="22"/>
  <c r="CL121" i="22"/>
  <c r="CL122" i="22"/>
  <c r="CL118" i="22"/>
  <c r="CL123" i="22"/>
  <c r="CL124" i="22"/>
  <c r="CL125" i="22"/>
  <c r="CL126" i="22"/>
  <c r="AI45" i="22"/>
  <c r="AO72" i="22"/>
  <c r="AU72" i="22" s="1"/>
  <c r="AV72" i="22" s="1"/>
  <c r="AX43" i="22"/>
  <c r="AX49" i="22"/>
  <c r="AX47" i="22"/>
  <c r="AX51" i="22"/>
  <c r="AX48" i="22"/>
  <c r="AX52" i="22"/>
  <c r="AX54" i="22"/>
  <c r="AX46" i="22"/>
  <c r="AX42" i="22"/>
  <c r="AX44" i="22"/>
  <c r="AX55" i="22"/>
  <c r="AX50" i="22"/>
  <c r="AX53" i="22"/>
  <c r="AX45" i="22"/>
  <c r="AF72" i="22" l="1"/>
  <c r="AL72" i="22" s="1"/>
  <c r="AF93" i="22"/>
  <c r="BT44" i="22"/>
  <c r="BT48" i="22"/>
  <c r="BT43" i="22"/>
  <c r="BT55" i="22"/>
  <c r="BT47" i="22"/>
  <c r="BT51" i="22"/>
  <c r="BT45" i="22"/>
  <c r="BT49" i="22"/>
  <c r="BT54" i="22"/>
  <c r="BT56" i="22"/>
  <c r="BT46" i="22"/>
  <c r="BT52" i="22"/>
  <c r="BT42" i="22"/>
  <c r="BT50" i="22"/>
  <c r="BT53" i="22"/>
  <c r="AI46" i="22"/>
  <c r="AO73" i="22"/>
  <c r="AU73" i="22" s="1"/>
  <c r="AV73" i="22" s="1"/>
  <c r="BD44" i="22"/>
  <c r="BD48" i="22"/>
  <c r="BD52" i="22"/>
  <c r="BD42" i="22"/>
  <c r="BD46" i="22"/>
  <c r="BD47" i="22"/>
  <c r="BD49" i="22"/>
  <c r="BD50" i="22"/>
  <c r="BD51" i="22"/>
  <c r="BD55" i="22"/>
  <c r="BD53" i="22"/>
  <c r="BD54" i="22"/>
  <c r="BD43" i="22"/>
  <c r="BD56" i="22"/>
  <c r="BD45" i="22"/>
  <c r="CO25" i="7" a="1"/>
  <c r="CO25" i="7"/>
  <c r="CP25" i="7"/>
  <c r="CQ25" i="7"/>
  <c r="CR25" i="7"/>
  <c r="CS25" i="7"/>
  <c r="CO26" i="7"/>
  <c r="CP26" i="7"/>
  <c r="CQ26" i="7"/>
  <c r="CR26" i="7"/>
  <c r="CS26" i="7"/>
  <c r="CO27" i="7"/>
  <c r="CP27" i="7"/>
  <c r="CQ27" i="7"/>
  <c r="CR27" i="7"/>
  <c r="CS27" i="7"/>
  <c r="CO28" i="7"/>
  <c r="CP28" i="7"/>
  <c r="CQ28" i="7"/>
  <c r="CR28" i="7"/>
  <c r="CS28" i="7"/>
  <c r="CO29" i="7"/>
  <c r="CP29" i="7"/>
  <c r="CQ29" i="7"/>
  <c r="CR29" i="7"/>
  <c r="CS29" i="7"/>
  <c r="DX24" i="7" a="1"/>
  <c r="DY24" i="7" s="1"/>
  <c r="EH3" i="7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2" i="7"/>
  <c r="EM18" i="7" a="1"/>
  <c r="EM18" i="7" s="1"/>
  <c r="EN19" i="7"/>
  <c r="EN21" i="7"/>
  <c r="EI18" i="7" a="1"/>
  <c r="EI18" i="7" s="1"/>
  <c r="EI19" i="7"/>
  <c r="ED18" i="7" a="1"/>
  <c r="ED18" i="7" s="1"/>
  <c r="EA3" i="7"/>
  <c r="EA5" i="7"/>
  <c r="EA6" i="7"/>
  <c r="EA7" i="7"/>
  <c r="EA8" i="7"/>
  <c r="EA9" i="7"/>
  <c r="EA10" i="7"/>
  <c r="DZ14" i="7"/>
  <c r="EA2" i="7"/>
  <c r="CR12" i="7"/>
  <c r="DZ12" i="7" s="1"/>
  <c r="CR13" i="7"/>
  <c r="DZ13" i="7" s="1"/>
  <c r="CR14" i="7"/>
  <c r="CR15" i="7"/>
  <c r="DZ15" i="7" s="1"/>
  <c r="CR16" i="7"/>
  <c r="DZ16" i="7" s="1"/>
  <c r="CU3" i="7"/>
  <c r="ED3" i="7" s="1"/>
  <c r="CU4" i="7"/>
  <c r="ED4" i="7" s="1"/>
  <c r="CU5" i="7"/>
  <c r="ED5" i="7" s="1"/>
  <c r="CU6" i="7"/>
  <c r="ED6" i="7" s="1"/>
  <c r="CU7" i="7"/>
  <c r="ED7" i="7" s="1"/>
  <c r="CU8" i="7"/>
  <c r="ED8" i="7" s="1"/>
  <c r="CU9" i="7"/>
  <c r="ED9" i="7" s="1"/>
  <c r="CU10" i="7"/>
  <c r="ED10" i="7" s="1"/>
  <c r="CU11" i="7"/>
  <c r="ED11" i="7" s="1"/>
  <c r="CU12" i="7"/>
  <c r="ED12" i="7" s="1"/>
  <c r="CU13" i="7"/>
  <c r="ED13" i="7" s="1"/>
  <c r="CU14" i="7"/>
  <c r="ED14" i="7" s="1"/>
  <c r="CU15" i="7"/>
  <c r="ED15" i="7" s="1"/>
  <c r="CU16" i="7"/>
  <c r="ED16" i="7" s="1"/>
  <c r="CU2" i="7"/>
  <c r="ED2" i="7" s="1"/>
  <c r="AX16" i="7"/>
  <c r="AT14" i="7"/>
  <c r="AU14" i="7" s="1"/>
  <c r="AT15" i="7"/>
  <c r="AU15" i="7"/>
  <c r="AT16" i="7"/>
  <c r="AU16" i="7" s="1"/>
  <c r="AT17" i="7"/>
  <c r="AU17" i="7" s="1"/>
  <c r="AT18" i="7"/>
  <c r="AU18" i="7" s="1"/>
  <c r="AE195" i="7"/>
  <c r="AX18" i="7" s="1"/>
  <c r="AC195" i="7"/>
  <c r="BA18" i="7" s="1"/>
  <c r="BW16" i="7" s="1"/>
  <c r="CO16" i="7" s="1"/>
  <c r="DX16" i="7" s="1"/>
  <c r="AE194" i="7"/>
  <c r="AJ16" i="7" s="1"/>
  <c r="AD194" i="7"/>
  <c r="AC194" i="7"/>
  <c r="AB194" i="7"/>
  <c r="AE183" i="7"/>
  <c r="AX17" i="7" s="1"/>
  <c r="AC183" i="7"/>
  <c r="BA17" i="7" s="1"/>
  <c r="BW15" i="7" s="1"/>
  <c r="CO15" i="7" s="1"/>
  <c r="DX15" i="7" s="1"/>
  <c r="AE182" i="7"/>
  <c r="AJ15" i="7" s="1"/>
  <c r="AD182" i="7"/>
  <c r="AI15" i="7" s="1"/>
  <c r="AC182" i="7"/>
  <c r="AB182" i="7"/>
  <c r="AE171" i="7"/>
  <c r="AC171" i="7"/>
  <c r="BA16" i="7" s="1"/>
  <c r="BW14" i="7" s="1"/>
  <c r="CO14" i="7" s="1"/>
  <c r="DX14" i="7" s="1"/>
  <c r="AE170" i="7"/>
  <c r="AJ14" i="7" s="1"/>
  <c r="AD170" i="7"/>
  <c r="AC170" i="7"/>
  <c r="AB170" i="7"/>
  <c r="AE159" i="7"/>
  <c r="AX15" i="7" s="1"/>
  <c r="AC159" i="7"/>
  <c r="BA15" i="7" s="1"/>
  <c r="BW13" i="7" s="1"/>
  <c r="CO13" i="7" s="1"/>
  <c r="DX13" i="7" s="1"/>
  <c r="AE158" i="7"/>
  <c r="AJ13" i="7" s="1"/>
  <c r="AD158" i="7"/>
  <c r="AC158" i="7"/>
  <c r="AB158" i="7"/>
  <c r="AE147" i="7"/>
  <c r="AX14" i="7" s="1"/>
  <c r="AC147" i="7"/>
  <c r="BA14" i="7" s="1"/>
  <c r="BW12" i="7" s="1"/>
  <c r="CO12" i="7" s="1"/>
  <c r="DX12" i="7" s="1"/>
  <c r="AE146" i="7"/>
  <c r="AJ12" i="7" s="1"/>
  <c r="AD146" i="7"/>
  <c r="AC146" i="7"/>
  <c r="AB146" i="7"/>
  <c r="EK2" i="17"/>
  <c r="EK3" i="17"/>
  <c r="EK4" i="17"/>
  <c r="EK5" i="17"/>
  <c r="EK6" i="17"/>
  <c r="EK7" i="17"/>
  <c r="EK8" i="17"/>
  <c r="EK9" i="17"/>
  <c r="EK10" i="17"/>
  <c r="EK11" i="17"/>
  <c r="EK12" i="17"/>
  <c r="EK13" i="17"/>
  <c r="EK14" i="17"/>
  <c r="EK15" i="17"/>
  <c r="EK16" i="17"/>
  <c r="EH4" i="17"/>
  <c r="EH5" i="17"/>
  <c r="EH6" i="17"/>
  <c r="EH7" i="17"/>
  <c r="EH8" i="17"/>
  <c r="EH9" i="17"/>
  <c r="EH10" i="17"/>
  <c r="EH11" i="17"/>
  <c r="EH12" i="17"/>
  <c r="EH13" i="17"/>
  <c r="EH14" i="17"/>
  <c r="EH15" i="17"/>
  <c r="EH16" i="17"/>
  <c r="EH2" i="17"/>
  <c r="CZ12" i="17"/>
  <c r="CZ13" i="17"/>
  <c r="CZ14" i="17"/>
  <c r="CZ15" i="17"/>
  <c r="CZ16" i="17"/>
  <c r="CJ14" i="17"/>
  <c r="CK14" i="17"/>
  <c r="CJ15" i="17"/>
  <c r="CK15" i="17"/>
  <c r="CJ16" i="17"/>
  <c r="CK16" i="17"/>
  <c r="CJ17" i="17"/>
  <c r="CK17" i="17" s="1"/>
  <c r="CJ18" i="17"/>
  <c r="CK18" i="17" s="1"/>
  <c r="AI47" i="22" l="1"/>
  <c r="AO74" i="22"/>
  <c r="AU74" i="22" s="1"/>
  <c r="AV74" i="22" s="1"/>
  <c r="AF73" i="22"/>
  <c r="AL73" i="22" s="1"/>
  <c r="AF94" i="22"/>
  <c r="EJ20" i="7"/>
  <c r="EK21" i="7"/>
  <c r="EG22" i="7"/>
  <c r="EG19" i="7"/>
  <c r="EG18" i="7"/>
  <c r="EG21" i="7"/>
  <c r="EG20" i="7"/>
  <c r="EF22" i="7"/>
  <c r="EF21" i="7"/>
  <c r="EF20" i="7"/>
  <c r="EF19" i="7"/>
  <c r="EF18" i="7"/>
  <c r="EE22" i="7"/>
  <c r="EE21" i="7"/>
  <c r="EE20" i="7"/>
  <c r="EE19" i="7"/>
  <c r="EE18" i="7"/>
  <c r="ED22" i="7"/>
  <c r="ED21" i="7"/>
  <c r="ED20" i="7"/>
  <c r="ED19" i="7"/>
  <c r="DX28" i="7"/>
  <c r="DY27" i="7"/>
  <c r="DZ26" i="7"/>
  <c r="EA25" i="7"/>
  <c r="EB24" i="7"/>
  <c r="DX24" i="7"/>
  <c r="EA28" i="7"/>
  <c r="EB27" i="7"/>
  <c r="DX27" i="7"/>
  <c r="DY26" i="7"/>
  <c r="DZ25" i="7"/>
  <c r="EA24" i="7"/>
  <c r="DZ28" i="7"/>
  <c r="EA27" i="7"/>
  <c r="EB26" i="7"/>
  <c r="DX26" i="7"/>
  <c r="DY25" i="7"/>
  <c r="DZ24" i="7"/>
  <c r="EB28" i="7"/>
  <c r="DY28" i="7"/>
  <c r="DZ27" i="7"/>
  <c r="EA26" i="7"/>
  <c r="EB25" i="7"/>
  <c r="DX25" i="7"/>
  <c r="EM21" i="7"/>
  <c r="EM19" i="7"/>
  <c r="EN22" i="7"/>
  <c r="EN20" i="7"/>
  <c r="EN18" i="7"/>
  <c r="EM22" i="7"/>
  <c r="EM20" i="7"/>
  <c r="EK22" i="7"/>
  <c r="EJ21" i="7"/>
  <c r="EI20" i="7"/>
  <c r="EK18" i="7"/>
  <c r="EJ22" i="7"/>
  <c r="EI21" i="7"/>
  <c r="EK19" i="7"/>
  <c r="EJ18" i="7"/>
  <c r="EI22" i="7"/>
  <c r="EK20" i="7"/>
  <c r="EJ19" i="7"/>
  <c r="AI12" i="7"/>
  <c r="AI14" i="7"/>
  <c r="AI16" i="7"/>
  <c r="AI13" i="7"/>
  <c r="AF74" i="22" l="1"/>
  <c r="AL74" i="22" s="1"/>
  <c r="AF95" i="22"/>
  <c r="AL95" i="22" s="1"/>
  <c r="AO75" i="22"/>
  <c r="AU75" i="22" s="1"/>
  <c r="AV75" i="22" s="1"/>
  <c r="AI48" i="22"/>
  <c r="EG3" i="7"/>
  <c r="EG5" i="7"/>
  <c r="EG7" i="7"/>
  <c r="EG9" i="7"/>
  <c r="EG11" i="7"/>
  <c r="EG13" i="7"/>
  <c r="EG15" i="7"/>
  <c r="EG2" i="7"/>
  <c r="EG4" i="7"/>
  <c r="EG6" i="7"/>
  <c r="EG8" i="7"/>
  <c r="EG10" i="7"/>
  <c r="EG12" i="7"/>
  <c r="EG14" i="7"/>
  <c r="EG16" i="7"/>
  <c r="EF2" i="7"/>
  <c r="EF4" i="7"/>
  <c r="EF8" i="7"/>
  <c r="EF7" i="7"/>
  <c r="EF6" i="7"/>
  <c r="EF10" i="7"/>
  <c r="EF5" i="7"/>
  <c r="EF12" i="7"/>
  <c r="EF11" i="7"/>
  <c r="EF14" i="7"/>
  <c r="EF9" i="7"/>
  <c r="EF16" i="7"/>
  <c r="EF15" i="7"/>
  <c r="EF13" i="7"/>
  <c r="EF3" i="7"/>
  <c r="EE3" i="7"/>
  <c r="EE4" i="7"/>
  <c r="EE5" i="7"/>
  <c r="EE6" i="7"/>
  <c r="EE7" i="7"/>
  <c r="EE8" i="7"/>
  <c r="EE9" i="7"/>
  <c r="EE10" i="7"/>
  <c r="EE11" i="7"/>
  <c r="EE12" i="7"/>
  <c r="EE13" i="7"/>
  <c r="EE14" i="7"/>
  <c r="EE15" i="7"/>
  <c r="EE16" i="7"/>
  <c r="EE2" i="7"/>
  <c r="EI3" i="7"/>
  <c r="EI7" i="7"/>
  <c r="EI11" i="7"/>
  <c r="EI15" i="7"/>
  <c r="EI4" i="7"/>
  <c r="EI8" i="7"/>
  <c r="EI12" i="7"/>
  <c r="EI16" i="7"/>
  <c r="EI5" i="7"/>
  <c r="EI9" i="7"/>
  <c r="EI13" i="7"/>
  <c r="EI2" i="7"/>
  <c r="EI6" i="7"/>
  <c r="EI10" i="7"/>
  <c r="EI14" i="7"/>
  <c r="BY12" i="17"/>
  <c r="BY16" i="17"/>
  <c r="BX13" i="17"/>
  <c r="BX15" i="17"/>
  <c r="BW15" i="17"/>
  <c r="CT15" i="17" s="1"/>
  <c r="EE15" i="17" s="1"/>
  <c r="BR193" i="17"/>
  <c r="CN18" i="17" s="1"/>
  <c r="BQ193" i="17"/>
  <c r="BS192" i="17"/>
  <c r="BR192" i="17"/>
  <c r="BX16" i="17" s="1"/>
  <c r="BQ192" i="17"/>
  <c r="BW16" i="17" s="1"/>
  <c r="CT16" i="17" s="1"/>
  <c r="EE16" i="17" s="1"/>
  <c r="BP192" i="17"/>
  <c r="BR181" i="17"/>
  <c r="CN17" i="17" s="1"/>
  <c r="BQ181" i="17"/>
  <c r="BS180" i="17"/>
  <c r="BY15" i="17" s="1"/>
  <c r="BR180" i="17"/>
  <c r="BQ180" i="17"/>
  <c r="BP180" i="17"/>
  <c r="BR169" i="17"/>
  <c r="CN16" i="17" s="1"/>
  <c r="BQ169" i="17"/>
  <c r="BS168" i="17"/>
  <c r="BY14" i="17" s="1"/>
  <c r="BR168" i="17"/>
  <c r="BX14" i="17" s="1"/>
  <c r="BQ168" i="17"/>
  <c r="BW14" i="17" s="1"/>
  <c r="CT14" i="17" s="1"/>
  <c r="EE14" i="17" s="1"/>
  <c r="BP168" i="17"/>
  <c r="BR157" i="17"/>
  <c r="CN15" i="17" s="1"/>
  <c r="BQ157" i="17"/>
  <c r="BS156" i="17"/>
  <c r="BY13" i="17" s="1"/>
  <c r="BR156" i="17"/>
  <c r="BQ156" i="17"/>
  <c r="BW13" i="17" s="1"/>
  <c r="CT13" i="17" s="1"/>
  <c r="EE13" i="17" s="1"/>
  <c r="BP156" i="17"/>
  <c r="BR145" i="17"/>
  <c r="CN14" i="17" s="1"/>
  <c r="BQ145" i="17"/>
  <c r="BS144" i="17"/>
  <c r="BR144" i="17"/>
  <c r="BX12" i="17" s="1"/>
  <c r="BQ144" i="17"/>
  <c r="BW12" i="17" s="1"/>
  <c r="CT12" i="17" s="1"/>
  <c r="EE12" i="17" s="1"/>
  <c r="BP144" i="17"/>
  <c r="BS24" i="17"/>
  <c r="BR25" i="17"/>
  <c r="AI49" i="22" l="1"/>
  <c r="AO76" i="22"/>
  <c r="AU76" i="22" s="1"/>
  <c r="AV76" i="22" s="1"/>
  <c r="AL118" i="22"/>
  <c r="AF96" i="22"/>
  <c r="AF75" i="22"/>
  <c r="AL75" i="22" s="1"/>
  <c r="B20" i="21"/>
  <c r="AL141" i="22" l="1"/>
  <c r="AF97" i="22"/>
  <c r="AF76" i="22"/>
  <c r="AL76" i="22" s="1"/>
  <c r="AI50" i="22"/>
  <c r="AO77" i="22"/>
  <c r="AU77" i="22" s="1"/>
  <c r="AV77" i="22" s="1"/>
  <c r="Q4" i="1"/>
  <c r="G125" i="1"/>
  <c r="AF77" i="22" l="1"/>
  <c r="AL77" i="22" s="1"/>
  <c r="AF98" i="22"/>
  <c r="AL98" i="22" s="1"/>
  <c r="AI51" i="22"/>
  <c r="AO78" i="22"/>
  <c r="AU78" i="22" s="1"/>
  <c r="AV78" i="22" s="1"/>
  <c r="H125" i="1"/>
  <c r="AO79" i="22" l="1"/>
  <c r="AU79" i="22" s="1"/>
  <c r="AV79" i="22" s="1"/>
  <c r="AI52" i="22"/>
  <c r="AL121" i="22"/>
  <c r="AF78" i="22"/>
  <c r="AL78" i="22" s="1"/>
  <c r="AF99" i="22"/>
  <c r="AL99" i="22" s="1"/>
  <c r="AL122" i="22" s="1"/>
  <c r="AL145" i="22" s="1"/>
  <c r="CR3" i="7"/>
  <c r="DZ3" i="7" s="1"/>
  <c r="CR4" i="7"/>
  <c r="CR5" i="7"/>
  <c r="DZ5" i="7" s="1"/>
  <c r="CR6" i="7"/>
  <c r="DZ6" i="7" s="1"/>
  <c r="CR7" i="7"/>
  <c r="DZ7" i="7" s="1"/>
  <c r="CR8" i="7"/>
  <c r="CR9" i="7"/>
  <c r="DZ9" i="7" s="1"/>
  <c r="CR10" i="7"/>
  <c r="DZ10" i="7" s="1"/>
  <c r="CR11" i="7"/>
  <c r="DZ11" i="7" s="1"/>
  <c r="CR2" i="7"/>
  <c r="DZ2" i="7" s="1"/>
  <c r="AE134" i="7"/>
  <c r="AE122" i="7"/>
  <c r="AE110" i="7"/>
  <c r="AC135" i="7"/>
  <c r="BA13" i="7" s="1"/>
  <c r="BW11" i="7" s="1"/>
  <c r="CO11" i="7" s="1"/>
  <c r="DX11" i="7" s="1"/>
  <c r="AC123" i="7"/>
  <c r="BA12" i="7" s="1"/>
  <c r="BW10" i="7" s="1"/>
  <c r="CO10" i="7" s="1"/>
  <c r="DX10" i="7" s="1"/>
  <c r="AC111" i="7"/>
  <c r="BA11" i="7" s="1"/>
  <c r="BW9" i="7" s="1"/>
  <c r="CO9" i="7" s="1"/>
  <c r="DX9" i="7" s="1"/>
  <c r="AC99" i="7"/>
  <c r="BA10" i="7" s="1"/>
  <c r="BW8" i="7" s="1"/>
  <c r="CO8" i="7" s="1"/>
  <c r="DX8" i="7" s="1"/>
  <c r="AC87" i="7"/>
  <c r="BA9" i="7" s="1"/>
  <c r="BW7" i="7" s="1"/>
  <c r="CO7" i="7" s="1"/>
  <c r="DX7" i="7" s="1"/>
  <c r="AC75" i="7"/>
  <c r="BA8" i="7" s="1"/>
  <c r="BW6" i="7" s="1"/>
  <c r="CO6" i="7" s="1"/>
  <c r="DX6" i="7" s="1"/>
  <c r="AC63" i="7"/>
  <c r="BA7" i="7" s="1"/>
  <c r="BW5" i="7" s="1"/>
  <c r="CO5" i="7" s="1"/>
  <c r="DX5" i="7" s="1"/>
  <c r="AC51" i="7"/>
  <c r="BA6" i="7" s="1"/>
  <c r="BW4" i="7" s="1"/>
  <c r="CO4" i="7" s="1"/>
  <c r="DX4" i="7" s="1"/>
  <c r="AC39" i="7"/>
  <c r="BA5" i="7" s="1"/>
  <c r="BW3" i="7" s="1"/>
  <c r="CO3" i="7" s="1"/>
  <c r="DX3" i="7" s="1"/>
  <c r="AD26" i="7"/>
  <c r="AC26" i="7"/>
  <c r="AC27" i="7"/>
  <c r="BA4" i="7" s="1"/>
  <c r="BW2" i="7" s="1"/>
  <c r="AE27" i="7"/>
  <c r="Q4" i="7"/>
  <c r="Q5" i="7"/>
  <c r="Q6" i="7"/>
  <c r="Q7" i="7"/>
  <c r="Q8" i="7"/>
  <c r="Q9" i="7"/>
  <c r="Q10" i="7"/>
  <c r="Q11" i="7"/>
  <c r="Q12" i="7"/>
  <c r="Q13" i="7"/>
  <c r="AR14" i="7" s="1"/>
  <c r="Q14" i="7"/>
  <c r="AR15" i="7" s="1"/>
  <c r="Q15" i="7"/>
  <c r="AR16" i="7" s="1"/>
  <c r="Q16" i="7"/>
  <c r="AR17" i="7" s="1"/>
  <c r="Q17" i="7"/>
  <c r="AR18" i="7" s="1"/>
  <c r="Q18" i="7"/>
  <c r="Q3" i="7"/>
  <c r="AE26" i="7"/>
  <c r="AL144" i="22" l="1"/>
  <c r="AF79" i="22"/>
  <c r="AL79" i="22" s="1"/>
  <c r="AF100" i="22"/>
  <c r="AL100" i="22" s="1"/>
  <c r="AI53" i="22"/>
  <c r="AO80" i="22"/>
  <c r="AU80" i="22" s="1"/>
  <c r="AV80" i="22" s="1"/>
  <c r="Q21" i="7"/>
  <c r="AS14" i="7" s="1"/>
  <c r="AV14" i="7" s="1"/>
  <c r="AS15" i="7"/>
  <c r="AV15" i="7" s="1"/>
  <c r="AS18" i="7"/>
  <c r="AV18" i="7" s="1"/>
  <c r="AI2" i="7"/>
  <c r="AS17" i="7"/>
  <c r="AV17" i="7" s="1"/>
  <c r="AS16" i="7"/>
  <c r="AV16" i="7" s="1"/>
  <c r="CO2" i="7"/>
  <c r="AL123" i="22" l="1"/>
  <c r="AF80" i="22"/>
  <c r="AL80" i="22" s="1"/>
  <c r="AF101" i="22"/>
  <c r="AL101" i="22" s="1"/>
  <c r="AL124" i="22" s="1"/>
  <c r="AL147" i="22" s="1"/>
  <c r="AI54" i="22"/>
  <c r="AO81" i="22"/>
  <c r="AU81" i="22" s="1"/>
  <c r="AV81" i="22" s="1"/>
  <c r="DX2" i="7"/>
  <c r="AF81" i="22" l="1"/>
  <c r="AL81" i="22" s="1"/>
  <c r="AF102" i="22"/>
  <c r="AL102" i="22" s="1"/>
  <c r="AL125" i="22" s="1"/>
  <c r="AL148" i="22" s="1"/>
  <c r="AI55" i="22"/>
  <c r="AE58" i="22" s="1" a="1"/>
  <c r="AO82" i="22"/>
  <c r="AU82" i="22" s="1"/>
  <c r="AV82" i="22" s="1"/>
  <c r="AL146" i="22"/>
  <c r="CT3" i="17"/>
  <c r="EE3" i="17" s="1"/>
  <c r="CT7" i="17"/>
  <c r="EE7" i="17" s="1"/>
  <c r="CT11" i="17"/>
  <c r="EE11" i="17" s="1"/>
  <c r="CH10" i="17"/>
  <c r="CH6" i="17"/>
  <c r="BR133" i="17"/>
  <c r="CN13" i="17" s="1"/>
  <c r="BR121" i="17"/>
  <c r="CN12" i="17" s="1"/>
  <c r="BR109" i="17"/>
  <c r="CN11" i="17" s="1"/>
  <c r="BR97" i="17"/>
  <c r="CN10" i="17" s="1"/>
  <c r="BR85" i="17"/>
  <c r="CN9" i="17" s="1"/>
  <c r="BR73" i="17"/>
  <c r="CN8" i="17" s="1"/>
  <c r="BR61" i="17"/>
  <c r="CN7" i="17" s="1"/>
  <c r="BR49" i="17"/>
  <c r="CN6" i="17" s="1"/>
  <c r="BR37" i="17"/>
  <c r="CN5" i="17" s="1"/>
  <c r="Q4" i="17"/>
  <c r="CH5" i="17" s="1"/>
  <c r="Q5" i="17"/>
  <c r="Q6" i="17"/>
  <c r="CH7" i="17" s="1"/>
  <c r="Q7" i="17"/>
  <c r="CH8" i="17" s="1"/>
  <c r="Q8" i="17"/>
  <c r="CH9" i="17" s="1"/>
  <c r="Q9" i="17"/>
  <c r="Q10" i="17"/>
  <c r="CH11" i="17" s="1"/>
  <c r="Q11" i="17"/>
  <c r="CH12" i="17" s="1"/>
  <c r="Q12" i="17"/>
  <c r="CH13" i="17" s="1"/>
  <c r="Q13" i="17"/>
  <c r="CH14" i="17" s="1"/>
  <c r="Q14" i="17"/>
  <c r="CH15" i="17" s="1"/>
  <c r="Q15" i="17"/>
  <c r="CH16" i="17" s="1"/>
  <c r="Q16" i="17"/>
  <c r="CH17" i="17" s="1"/>
  <c r="Q17" i="17"/>
  <c r="CH18" i="17" s="1"/>
  <c r="Q18" i="17"/>
  <c r="Q3" i="17"/>
  <c r="CH4" i="17" s="1"/>
  <c r="BQ133" i="17"/>
  <c r="BQ121" i="17"/>
  <c r="BQ109" i="17"/>
  <c r="BQ97" i="17"/>
  <c r="BQ85" i="17"/>
  <c r="BQ73" i="17"/>
  <c r="BQ61" i="17"/>
  <c r="BQ49" i="17"/>
  <c r="BQ37" i="17"/>
  <c r="BQ132" i="17"/>
  <c r="BW11" i="17" s="1"/>
  <c r="BQ120" i="17"/>
  <c r="BW10" i="17" s="1"/>
  <c r="CT10" i="17" s="1"/>
  <c r="EE10" i="17" s="1"/>
  <c r="BQ108" i="17"/>
  <c r="BW9" i="17" s="1"/>
  <c r="CT9" i="17" s="1"/>
  <c r="EE9" i="17" s="1"/>
  <c r="BQ96" i="17"/>
  <c r="BQ84" i="17"/>
  <c r="BQ72" i="17"/>
  <c r="BW6" i="17" s="1"/>
  <c r="CT6" i="17" s="1"/>
  <c r="EE6" i="17" s="1"/>
  <c r="BQ60" i="17"/>
  <c r="BW5" i="17" s="1"/>
  <c r="CT5" i="17" s="1"/>
  <c r="EE5" i="17" s="1"/>
  <c r="BQ48" i="17"/>
  <c r="BW4" i="17" s="1"/>
  <c r="CT4" i="17" s="1"/>
  <c r="EE4" i="17" s="1"/>
  <c r="BQ36" i="17"/>
  <c r="BW3" i="17" s="1"/>
  <c r="BW2" i="17"/>
  <c r="CT2" i="17" s="1"/>
  <c r="BZ1" i="17"/>
  <c r="BW8" i="17"/>
  <c r="CT8" i="17" s="1"/>
  <c r="EE8" i="17" s="1"/>
  <c r="CA1" i="17"/>
  <c r="CD2" i="17"/>
  <c r="CZ2" i="17" s="1"/>
  <c r="CD3" i="17"/>
  <c r="CJ5" i="17" s="1"/>
  <c r="CK5" i="17" s="1"/>
  <c r="CD4" i="17"/>
  <c r="CZ4" i="17" s="1"/>
  <c r="CD5" i="17"/>
  <c r="CZ5" i="17" s="1"/>
  <c r="CD6" i="17"/>
  <c r="CZ6" i="17" s="1"/>
  <c r="CD7" i="17"/>
  <c r="CZ7" i="17" s="1"/>
  <c r="CD8" i="17"/>
  <c r="CZ8" i="17" s="1"/>
  <c r="CD9" i="17"/>
  <c r="CZ9" i="17" s="1"/>
  <c r="CD10" i="17"/>
  <c r="CZ10" i="17" s="1"/>
  <c r="CD11" i="17"/>
  <c r="CZ11" i="17" s="1"/>
  <c r="CC1" i="17"/>
  <c r="CD1" i="17"/>
  <c r="BW7" i="17"/>
  <c r="BY11" i="17"/>
  <c r="BS132" i="17"/>
  <c r="BP132" i="17"/>
  <c r="BV11" i="17" s="1"/>
  <c r="BS120" i="17"/>
  <c r="BY10" i="17" s="1"/>
  <c r="BP120" i="17"/>
  <c r="BV10" i="17" s="1"/>
  <c r="BS108" i="17"/>
  <c r="BY9" i="17" s="1"/>
  <c r="BP108" i="17"/>
  <c r="BV9" i="17" s="1"/>
  <c r="BS96" i="17"/>
  <c r="BY8" i="17" s="1"/>
  <c r="BP96" i="17"/>
  <c r="BV8" i="17" s="1"/>
  <c r="BS84" i="17"/>
  <c r="BY7" i="17" s="1"/>
  <c r="BP84" i="17"/>
  <c r="BV7" i="17" s="1"/>
  <c r="BS72" i="17"/>
  <c r="BY6" i="17" s="1"/>
  <c r="BP72" i="17"/>
  <c r="BV6" i="17" s="1"/>
  <c r="BS60" i="17"/>
  <c r="BY5" i="17" s="1"/>
  <c r="BP60" i="17"/>
  <c r="BV5" i="17" s="1"/>
  <c r="BS48" i="17"/>
  <c r="BY4" i="17" s="1"/>
  <c r="BP48" i="17"/>
  <c r="BV4" i="17" s="1"/>
  <c r="BS36" i="17"/>
  <c r="BY3" i="17" s="1"/>
  <c r="BP36" i="17"/>
  <c r="BV3" i="17" s="1"/>
  <c r="BY2" i="17"/>
  <c r="BP24" i="17"/>
  <c r="BV2" i="17" s="1"/>
  <c r="AH58" i="22" l="1"/>
  <c r="AG61" i="22"/>
  <c r="AF62" i="22"/>
  <c r="AF58" i="22"/>
  <c r="AF63" i="22" s="1"/>
  <c r="AE59" i="22"/>
  <c r="AH60" i="22"/>
  <c r="AG60" i="22"/>
  <c r="AF61" i="22"/>
  <c r="AE62" i="22"/>
  <c r="AE58" i="22"/>
  <c r="AH59" i="22"/>
  <c r="AG59" i="22"/>
  <c r="AF60" i="22"/>
  <c r="AE61" i="22"/>
  <c r="AH62" i="22"/>
  <c r="AG62" i="22"/>
  <c r="AG58" i="22"/>
  <c r="AF59" i="22"/>
  <c r="AE60" i="22"/>
  <c r="AD60" i="22" s="1"/>
  <c r="AH61" i="22"/>
  <c r="AO83" i="22"/>
  <c r="AU83" i="22" s="1"/>
  <c r="AV83" i="22" s="1"/>
  <c r="AI56" i="22"/>
  <c r="AJ58" i="22" s="1" a="1"/>
  <c r="AF103" i="22"/>
  <c r="AL103" i="22" s="1"/>
  <c r="AL126" i="22" s="1"/>
  <c r="AF82" i="22"/>
  <c r="AL82" i="22" s="1"/>
  <c r="CI11" i="17"/>
  <c r="CL11" i="17" s="1"/>
  <c r="CI5" i="17"/>
  <c r="CL5" i="17" s="1"/>
  <c r="CI6" i="17"/>
  <c r="CJ9" i="17"/>
  <c r="CK9" i="17" s="1"/>
  <c r="CJ13" i="17"/>
  <c r="CK13" i="17" s="1"/>
  <c r="CZ3" i="17"/>
  <c r="CJ4" i="17"/>
  <c r="CK4" i="17" s="1"/>
  <c r="CJ8" i="17"/>
  <c r="CK8" i="17" s="1"/>
  <c r="CJ12" i="17"/>
  <c r="CK12" i="17" s="1"/>
  <c r="EE2" i="17"/>
  <c r="CJ7" i="17"/>
  <c r="CK7" i="17" s="1"/>
  <c r="CJ11" i="17"/>
  <c r="CK11" i="17" s="1"/>
  <c r="CJ6" i="17"/>
  <c r="CK6" i="17" s="1"/>
  <c r="CJ10" i="17"/>
  <c r="CK10" i="17" s="1"/>
  <c r="Q21" i="17"/>
  <c r="CI7" i="17" s="1"/>
  <c r="CL7" i="17" s="1"/>
  <c r="BR132" i="17"/>
  <c r="BX11" i="17" s="1"/>
  <c r="BR120" i="17"/>
  <c r="BX10" i="17" s="1"/>
  <c r="BR108" i="17"/>
  <c r="BX9" i="17" s="1"/>
  <c r="BR96" i="17"/>
  <c r="BX8" i="17" s="1"/>
  <c r="BR84" i="17"/>
  <c r="BX7" i="17" s="1"/>
  <c r="BR72" i="17"/>
  <c r="BX6" i="17" s="1"/>
  <c r="BR60" i="17"/>
  <c r="BX5" i="17" s="1"/>
  <c r="BR48" i="17"/>
  <c r="BX4" i="17" s="1"/>
  <c r="BR36" i="17"/>
  <c r="BX3" i="17" s="1"/>
  <c r="BX2" i="17"/>
  <c r="CN4" i="17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30" i="1"/>
  <c r="Q146" i="1" a="1"/>
  <c r="Q146" i="1" s="1"/>
  <c r="AE63" i="22" l="1"/>
  <c r="AG63" i="22"/>
  <c r="AL43" i="22"/>
  <c r="AL47" i="22"/>
  <c r="AL51" i="22"/>
  <c r="AL55" i="22"/>
  <c r="AH63" i="22"/>
  <c r="AL44" i="22"/>
  <c r="AL48" i="22"/>
  <c r="AL52" i="22"/>
  <c r="AL56" i="22"/>
  <c r="AL45" i="22"/>
  <c r="AL49" i="22"/>
  <c r="AL53" i="22"/>
  <c r="AL42" i="22"/>
  <c r="AL46" i="22"/>
  <c r="AL50" i="22"/>
  <c r="AL54" i="22"/>
  <c r="AF104" i="22"/>
  <c r="AL104" i="22" s="1"/>
  <c r="AF83" i="22"/>
  <c r="AL83" i="22" s="1"/>
  <c r="AF84" i="22" s="1"/>
  <c r="AL149" i="22"/>
  <c r="AK58" i="22"/>
  <c r="AK59" i="22"/>
  <c r="AL58" i="22"/>
  <c r="AM60" i="22"/>
  <c r="AM61" i="22"/>
  <c r="AM62" i="22"/>
  <c r="AJ58" i="22"/>
  <c r="AL60" i="22"/>
  <c r="AL61" i="22"/>
  <c r="AL62" i="22"/>
  <c r="AM58" i="22"/>
  <c r="AJ59" i="22"/>
  <c r="AM59" i="22"/>
  <c r="AJ60" i="22"/>
  <c r="AO60" i="22" s="1"/>
  <c r="AJ61" i="22"/>
  <c r="AJ62" i="22"/>
  <c r="AK60" i="22"/>
  <c r="AK61" i="22"/>
  <c r="AK62" i="22"/>
  <c r="AL59" i="22"/>
  <c r="CL6" i="17"/>
  <c r="CI14" i="17"/>
  <c r="CL14" i="17" s="1"/>
  <c r="CI15" i="17"/>
  <c r="CL15" i="17" s="1"/>
  <c r="CI17" i="17"/>
  <c r="CL17" i="17" s="1"/>
  <c r="CI9" i="17"/>
  <c r="CL9" i="17" s="1"/>
  <c r="CI4" i="17"/>
  <c r="CL4" i="17" s="1"/>
  <c r="CI18" i="17"/>
  <c r="CL18" i="17" s="1"/>
  <c r="CI10" i="17"/>
  <c r="CL10" i="17" s="1"/>
  <c r="CI8" i="17"/>
  <c r="CL8" i="17" s="1"/>
  <c r="CI13" i="17"/>
  <c r="CL13" i="17" s="1"/>
  <c r="CI16" i="17"/>
  <c r="CL16" i="17" s="1"/>
  <c r="CI12" i="17"/>
  <c r="CL12" i="17" s="1"/>
  <c r="CQ4" i="17"/>
  <c r="CU2" i="17" s="1"/>
  <c r="CG4" i="17"/>
  <c r="CM4" i="17" s="1"/>
  <c r="CP4" i="17" s="1"/>
  <c r="S149" i="1"/>
  <c r="R148" i="1"/>
  <c r="Q147" i="1"/>
  <c r="S150" i="1"/>
  <c r="R149" i="1"/>
  <c r="Q148" i="1"/>
  <c r="S146" i="1"/>
  <c r="R150" i="1"/>
  <c r="Q149" i="1"/>
  <c r="S147" i="1"/>
  <c r="R146" i="1"/>
  <c r="Q150" i="1"/>
  <c r="S148" i="1"/>
  <c r="R147" i="1"/>
  <c r="BZ181" i="12"/>
  <c r="BY181" i="12"/>
  <c r="BX181" i="12"/>
  <c r="BZ169" i="12"/>
  <c r="BY169" i="12"/>
  <c r="BX169" i="12"/>
  <c r="BZ157" i="12"/>
  <c r="BY157" i="12"/>
  <c r="BX157" i="12"/>
  <c r="BZ145" i="12"/>
  <c r="BY145" i="12"/>
  <c r="BX145" i="12"/>
  <c r="BZ133" i="12"/>
  <c r="BY133" i="12"/>
  <c r="BX133" i="12"/>
  <c r="BZ121" i="12"/>
  <c r="BY121" i="12"/>
  <c r="BX121" i="12"/>
  <c r="BZ109" i="12"/>
  <c r="BY109" i="12"/>
  <c r="BX109" i="12"/>
  <c r="BZ97" i="12"/>
  <c r="BY97" i="12"/>
  <c r="BX97" i="12"/>
  <c r="BZ85" i="12"/>
  <c r="BY85" i="12"/>
  <c r="BX85" i="12"/>
  <c r="BZ73" i="12"/>
  <c r="BY73" i="12"/>
  <c r="BX73" i="12"/>
  <c r="BZ61" i="12"/>
  <c r="BY61" i="12"/>
  <c r="BX61" i="12"/>
  <c r="BZ49" i="12"/>
  <c r="BY49" i="12"/>
  <c r="BX49" i="12"/>
  <c r="BZ37" i="12"/>
  <c r="BY37" i="12"/>
  <c r="BX37" i="12"/>
  <c r="BX25" i="12"/>
  <c r="EG103" i="12"/>
  <c r="EG104" i="12"/>
  <c r="ED180" i="12"/>
  <c r="EC180" i="12"/>
  <c r="EH16" i="12" s="1"/>
  <c r="EG105" i="12" s="1"/>
  <c r="EB180" i="12"/>
  <c r="ED168" i="12"/>
  <c r="EI15" i="12" s="1"/>
  <c r="EH104" i="12" s="1"/>
  <c r="EC168" i="12"/>
  <c r="EH15" i="12" s="1"/>
  <c r="EB168" i="12"/>
  <c r="ED156" i="12"/>
  <c r="EI14" i="12" s="1"/>
  <c r="EH103" i="12" s="1"/>
  <c r="EC156" i="12"/>
  <c r="EH14" i="12" s="1"/>
  <c r="EB156" i="12"/>
  <c r="ED144" i="12"/>
  <c r="EI13" i="12" s="1"/>
  <c r="EH102" i="12" s="1"/>
  <c r="EC144" i="12"/>
  <c r="EH13" i="12" s="1"/>
  <c r="EG102" i="12" s="1"/>
  <c r="EB144" i="12"/>
  <c r="ED132" i="12"/>
  <c r="EC132" i="12"/>
  <c r="EH12" i="12" s="1"/>
  <c r="EG101" i="12" s="1"/>
  <c r="EB132" i="12"/>
  <c r="ED120" i="12"/>
  <c r="EI11" i="12" s="1"/>
  <c r="EH100" i="12" s="1"/>
  <c r="EC120" i="12"/>
  <c r="EH11" i="12" s="1"/>
  <c r="EG100" i="12" s="1"/>
  <c r="EB120" i="12"/>
  <c r="ED108" i="12"/>
  <c r="EI10" i="12" s="1"/>
  <c r="EH99" i="12" s="1"/>
  <c r="EC108" i="12"/>
  <c r="EH10" i="12" s="1"/>
  <c r="EG99" i="12" s="1"/>
  <c r="EB108" i="12"/>
  <c r="ED96" i="12"/>
  <c r="EI9" i="12" s="1"/>
  <c r="EH98" i="12" s="1"/>
  <c r="EC96" i="12"/>
  <c r="EH9" i="12" s="1"/>
  <c r="EG98" i="12" s="1"/>
  <c r="EB96" i="12"/>
  <c r="ED84" i="12"/>
  <c r="EI8" i="12" s="1"/>
  <c r="EH97" i="12" s="1"/>
  <c r="EC84" i="12"/>
  <c r="EH8" i="12" s="1"/>
  <c r="EG97" i="12" s="1"/>
  <c r="EB84" i="12"/>
  <c r="ED72" i="12"/>
  <c r="EI7" i="12" s="1"/>
  <c r="EH96" i="12" s="1"/>
  <c r="EC72" i="12"/>
  <c r="EH7" i="12" s="1"/>
  <c r="EG96" i="12" s="1"/>
  <c r="EB72" i="12"/>
  <c r="ED60" i="12"/>
  <c r="EI6" i="12" s="1"/>
  <c r="EH95" i="12" s="1"/>
  <c r="EC60" i="12"/>
  <c r="EH6" i="12" s="1"/>
  <c r="EG95" i="12" s="1"/>
  <c r="EB60" i="12"/>
  <c r="ED48" i="12"/>
  <c r="EI5" i="12" s="1"/>
  <c r="EH94" i="12" s="1"/>
  <c r="EC48" i="12"/>
  <c r="EH5" i="12" s="1"/>
  <c r="EG94" i="12" s="1"/>
  <c r="EB48" i="12"/>
  <c r="ED36" i="12"/>
  <c r="EI4" i="12" s="1"/>
  <c r="EH93" i="12" s="1"/>
  <c r="EC36" i="12"/>
  <c r="EH4" i="12" s="1"/>
  <c r="EG93" i="12" s="1"/>
  <c r="EB36" i="12"/>
  <c r="ED24" i="12"/>
  <c r="EI3" i="12" s="1"/>
  <c r="EH92" i="12" s="1"/>
  <c r="EC24" i="12"/>
  <c r="EH3" i="12" s="1"/>
  <c r="EG92" i="12" s="1"/>
  <c r="EI12" i="12"/>
  <c r="EH101" i="12" s="1"/>
  <c r="EI16" i="12"/>
  <c r="EH105" i="12" s="1"/>
  <c r="ED12" i="12"/>
  <c r="EC12" i="12"/>
  <c r="AK63" i="22" l="1"/>
  <c r="AM63" i="22"/>
  <c r="AJ63" i="22"/>
  <c r="AL63" i="22"/>
  <c r="AL127" i="22"/>
  <c r="AM106" i="22" a="1"/>
  <c r="EF2" i="17"/>
  <c r="CO4" i="17"/>
  <c r="CG5" i="17"/>
  <c r="CM5" i="17" s="1"/>
  <c r="CQ5" i="17"/>
  <c r="CU3" i="17" s="1"/>
  <c r="EF3" i="17" s="1"/>
  <c r="AH18" i="16"/>
  <c r="AH30" i="16"/>
  <c r="AH42" i="16"/>
  <c r="AH54" i="16"/>
  <c r="AH66" i="16"/>
  <c r="AH78" i="16"/>
  <c r="AH90" i="16"/>
  <c r="AH102" i="16"/>
  <c r="AH114" i="16"/>
  <c r="AH126" i="16"/>
  <c r="AH138" i="16"/>
  <c r="AH150" i="16"/>
  <c r="AH162" i="16"/>
  <c r="AH174" i="16"/>
  <c r="AH186" i="16"/>
  <c r="FF3" i="12"/>
  <c r="FG3" i="12"/>
  <c r="FH3" i="12"/>
  <c r="FF4" i="12"/>
  <c r="FG4" i="12"/>
  <c r="FH4" i="12"/>
  <c r="FF5" i="12"/>
  <c r="FG5" i="12"/>
  <c r="FH5" i="12"/>
  <c r="FF6" i="12"/>
  <c r="FG6" i="12"/>
  <c r="FH6" i="12"/>
  <c r="FF7" i="12"/>
  <c r="FG7" i="12"/>
  <c r="FH7" i="12"/>
  <c r="FF8" i="12"/>
  <c r="FI12" i="12" s="1"/>
  <c r="FG8" i="12"/>
  <c r="FJ12" i="12" s="1"/>
  <c r="FH8" i="12"/>
  <c r="FF9" i="12"/>
  <c r="FG9" i="12"/>
  <c r="FH9" i="12"/>
  <c r="FF10" i="12"/>
  <c r="FG10" i="12"/>
  <c r="FH10" i="12"/>
  <c r="FF11" i="12"/>
  <c r="FG11" i="12"/>
  <c r="FH11" i="12"/>
  <c r="FF12" i="12"/>
  <c r="FG12" i="12"/>
  <c r="FH12" i="12"/>
  <c r="FF13" i="12"/>
  <c r="FG13" i="12"/>
  <c r="FH13" i="12"/>
  <c r="FF14" i="12"/>
  <c r="FG14" i="12"/>
  <c r="FH14" i="12"/>
  <c r="FF15" i="12"/>
  <c r="FG15" i="12"/>
  <c r="FH15" i="12"/>
  <c r="FF16" i="12"/>
  <c r="FG16" i="12"/>
  <c r="FH16" i="12"/>
  <c r="FF17" i="12"/>
  <c r="FG17" i="12"/>
  <c r="FH17" i="12"/>
  <c r="FF18" i="12"/>
  <c r="FG18" i="12"/>
  <c r="FH18" i="12"/>
  <c r="FF19" i="12"/>
  <c r="FG19" i="12"/>
  <c r="FH19" i="12"/>
  <c r="FF20" i="12"/>
  <c r="FI24" i="12" s="1"/>
  <c r="FG20" i="12"/>
  <c r="FJ24" i="12" s="1"/>
  <c r="FH20" i="12"/>
  <c r="FF21" i="12"/>
  <c r="FG21" i="12"/>
  <c r="FH21" i="12"/>
  <c r="FF22" i="12"/>
  <c r="FG22" i="12"/>
  <c r="FH22" i="12"/>
  <c r="FF23" i="12"/>
  <c r="FG23" i="12"/>
  <c r="FH23" i="12"/>
  <c r="FF24" i="12"/>
  <c r="FG24" i="12"/>
  <c r="FH24" i="12"/>
  <c r="FF25" i="12"/>
  <c r="FG25" i="12"/>
  <c r="FH25" i="12"/>
  <c r="FF26" i="12"/>
  <c r="FG26" i="12"/>
  <c r="FH26" i="12"/>
  <c r="FF27" i="12"/>
  <c r="FG27" i="12"/>
  <c r="FH27" i="12"/>
  <c r="FF28" i="12"/>
  <c r="FG28" i="12"/>
  <c r="FH28" i="12"/>
  <c r="FF29" i="12"/>
  <c r="FG29" i="12"/>
  <c r="FH29" i="12"/>
  <c r="FF30" i="12"/>
  <c r="FG30" i="12"/>
  <c r="FH30" i="12"/>
  <c r="FF31" i="12"/>
  <c r="FG31" i="12"/>
  <c r="FH31" i="12"/>
  <c r="FF32" i="12"/>
  <c r="FI36" i="12" s="1"/>
  <c r="FG32" i="12"/>
  <c r="FJ36" i="12" s="1"/>
  <c r="FH32" i="12"/>
  <c r="FF33" i="12"/>
  <c r="FG33" i="12"/>
  <c r="FH33" i="12"/>
  <c r="FF34" i="12"/>
  <c r="FG34" i="12"/>
  <c r="FH34" i="12"/>
  <c r="FF35" i="12"/>
  <c r="FG35" i="12"/>
  <c r="FH35" i="12"/>
  <c r="FF36" i="12"/>
  <c r="FG36" i="12"/>
  <c r="FH36" i="12"/>
  <c r="FF37" i="12"/>
  <c r="FG37" i="12"/>
  <c r="FH37" i="12"/>
  <c r="FF38" i="12"/>
  <c r="FG38" i="12"/>
  <c r="FH38" i="12"/>
  <c r="FF39" i="12"/>
  <c r="FG39" i="12"/>
  <c r="FH39" i="12"/>
  <c r="FF40" i="12"/>
  <c r="FG40" i="12"/>
  <c r="FH40" i="12"/>
  <c r="FF41" i="12"/>
  <c r="FG41" i="12"/>
  <c r="FH41" i="12"/>
  <c r="FF42" i="12"/>
  <c r="FG42" i="12"/>
  <c r="FH42" i="12"/>
  <c r="FF43" i="12"/>
  <c r="FG43" i="12"/>
  <c r="FH43" i="12"/>
  <c r="FF44" i="12"/>
  <c r="FI48" i="12" s="1"/>
  <c r="FG44" i="12"/>
  <c r="FJ48" i="12" s="1"/>
  <c r="FH44" i="12"/>
  <c r="FF45" i="12"/>
  <c r="FG45" i="12"/>
  <c r="FH45" i="12"/>
  <c r="FF46" i="12"/>
  <c r="FG46" i="12"/>
  <c r="FH46" i="12"/>
  <c r="FF47" i="12"/>
  <c r="FG47" i="12"/>
  <c r="FH47" i="12"/>
  <c r="FF48" i="12"/>
  <c r="FG48" i="12"/>
  <c r="FH48" i="12"/>
  <c r="FF49" i="12"/>
  <c r="FG49" i="12"/>
  <c r="FH49" i="12"/>
  <c r="FF50" i="12"/>
  <c r="FG50" i="12"/>
  <c r="FH50" i="12"/>
  <c r="FF51" i="12"/>
  <c r="FG51" i="12"/>
  <c r="FH51" i="12"/>
  <c r="FF52" i="12"/>
  <c r="FG52" i="12"/>
  <c r="FH52" i="12"/>
  <c r="FF53" i="12"/>
  <c r="FG53" i="12"/>
  <c r="FH53" i="12"/>
  <c r="FF54" i="12"/>
  <c r="FG54" i="12"/>
  <c r="FH54" i="12"/>
  <c r="FF55" i="12"/>
  <c r="FG55" i="12"/>
  <c r="FH55" i="12"/>
  <c r="FF56" i="12"/>
  <c r="FI60" i="12" s="1"/>
  <c r="FG56" i="12"/>
  <c r="FJ60" i="12" s="1"/>
  <c r="FH56" i="12"/>
  <c r="FF57" i="12"/>
  <c r="FG57" i="12"/>
  <c r="FH57" i="12"/>
  <c r="FF58" i="12"/>
  <c r="FG58" i="12"/>
  <c r="FH58" i="12"/>
  <c r="FF59" i="12"/>
  <c r="FG59" i="12"/>
  <c r="FH59" i="12"/>
  <c r="FF60" i="12"/>
  <c r="FG60" i="12"/>
  <c r="FH60" i="12"/>
  <c r="FF61" i="12"/>
  <c r="FG61" i="12"/>
  <c r="FH61" i="12"/>
  <c r="FF62" i="12"/>
  <c r="FG62" i="12"/>
  <c r="FH62" i="12"/>
  <c r="FF63" i="12"/>
  <c r="FG63" i="12"/>
  <c r="FH63" i="12"/>
  <c r="FF64" i="12"/>
  <c r="FG64" i="12"/>
  <c r="FH64" i="12"/>
  <c r="FF65" i="12"/>
  <c r="FG65" i="12"/>
  <c r="FH65" i="12"/>
  <c r="FF66" i="12"/>
  <c r="FG66" i="12"/>
  <c r="FH66" i="12"/>
  <c r="FF67" i="12"/>
  <c r="FG67" i="12"/>
  <c r="FH67" i="12"/>
  <c r="FF68" i="12"/>
  <c r="FI72" i="12" s="1"/>
  <c r="FG68" i="12"/>
  <c r="FJ72" i="12" s="1"/>
  <c r="FH68" i="12"/>
  <c r="FF69" i="12"/>
  <c r="FG69" i="12"/>
  <c r="FH69" i="12"/>
  <c r="FF70" i="12"/>
  <c r="FG70" i="12"/>
  <c r="FH70" i="12"/>
  <c r="FF71" i="12"/>
  <c r="FG71" i="12"/>
  <c r="FH71" i="12"/>
  <c r="FF72" i="12"/>
  <c r="FG72" i="12"/>
  <c r="FH72" i="12"/>
  <c r="FF73" i="12"/>
  <c r="FG73" i="12"/>
  <c r="FH73" i="12"/>
  <c r="FF74" i="12"/>
  <c r="FG74" i="12"/>
  <c r="FH74" i="12"/>
  <c r="FF75" i="12"/>
  <c r="FG75" i="12"/>
  <c r="FH75" i="12"/>
  <c r="FF76" i="12"/>
  <c r="FG76" i="12"/>
  <c r="FH76" i="12"/>
  <c r="FF77" i="12"/>
  <c r="FG77" i="12"/>
  <c r="FH77" i="12"/>
  <c r="FF78" i="12"/>
  <c r="FG78" i="12"/>
  <c r="FH78" i="12"/>
  <c r="FF79" i="12"/>
  <c r="FG79" i="12"/>
  <c r="FH79" i="12"/>
  <c r="FF80" i="12"/>
  <c r="FI84" i="12" s="1"/>
  <c r="FG80" i="12"/>
  <c r="FJ84" i="12" s="1"/>
  <c r="FH80" i="12"/>
  <c r="FF81" i="12"/>
  <c r="FG81" i="12"/>
  <c r="FH81" i="12"/>
  <c r="FF82" i="12"/>
  <c r="FG82" i="12"/>
  <c r="FH82" i="12"/>
  <c r="FF83" i="12"/>
  <c r="FG83" i="12"/>
  <c r="FH83" i="12"/>
  <c r="FF84" i="12"/>
  <c r="FG84" i="12"/>
  <c r="FH84" i="12"/>
  <c r="FF85" i="12"/>
  <c r="FG85" i="12"/>
  <c r="FH85" i="12"/>
  <c r="FF86" i="12"/>
  <c r="FG86" i="12"/>
  <c r="FH86" i="12"/>
  <c r="FF87" i="12"/>
  <c r="FG87" i="12"/>
  <c r="FH87" i="12"/>
  <c r="FF88" i="12"/>
  <c r="FG88" i="12"/>
  <c r="FH88" i="12"/>
  <c r="FF89" i="12"/>
  <c r="FG89" i="12"/>
  <c r="FH89" i="12"/>
  <c r="FF90" i="12"/>
  <c r="FG90" i="12"/>
  <c r="FH90" i="12"/>
  <c r="FG91" i="12"/>
  <c r="FH91" i="12"/>
  <c r="FI91" i="12"/>
  <c r="FF92" i="12"/>
  <c r="FI96" i="12" s="1"/>
  <c r="FG92" i="12"/>
  <c r="FJ96" i="12" s="1"/>
  <c r="FH92" i="12"/>
  <c r="FF93" i="12"/>
  <c r="FG93" i="12"/>
  <c r="FH93" i="12"/>
  <c r="FF94" i="12"/>
  <c r="FG94" i="12"/>
  <c r="FH94" i="12"/>
  <c r="FF95" i="12"/>
  <c r="FG95" i="12"/>
  <c r="FH95" i="12"/>
  <c r="FF96" i="12"/>
  <c r="FG96" i="12"/>
  <c r="FH96" i="12"/>
  <c r="FF97" i="12"/>
  <c r="FG97" i="12"/>
  <c r="FH97" i="12"/>
  <c r="FF98" i="12"/>
  <c r="FG98" i="12"/>
  <c r="FH98" i="12"/>
  <c r="FF99" i="12"/>
  <c r="FG99" i="12"/>
  <c r="FH99" i="12"/>
  <c r="FF100" i="12"/>
  <c r="FG100" i="12"/>
  <c r="FH100" i="12"/>
  <c r="FF101" i="12"/>
  <c r="FG101" i="12"/>
  <c r="FH101" i="12"/>
  <c r="FF102" i="12"/>
  <c r="FG102" i="12"/>
  <c r="FH102" i="12"/>
  <c r="FF103" i="12"/>
  <c r="FG103" i="12"/>
  <c r="FH103" i="12"/>
  <c r="FF104" i="12"/>
  <c r="FI108" i="12" s="1"/>
  <c r="FG104" i="12"/>
  <c r="FJ108" i="12" s="1"/>
  <c r="FH104" i="12"/>
  <c r="FF105" i="12"/>
  <c r="FG105" i="12"/>
  <c r="FH105" i="12"/>
  <c r="FF106" i="12"/>
  <c r="FG106" i="12"/>
  <c r="FH106" i="12"/>
  <c r="FF107" i="12"/>
  <c r="FG107" i="12"/>
  <c r="FH107" i="12"/>
  <c r="FF108" i="12"/>
  <c r="FG108" i="12"/>
  <c r="FH108" i="12"/>
  <c r="FF109" i="12"/>
  <c r="FG109" i="12"/>
  <c r="FH109" i="12"/>
  <c r="FF110" i="12"/>
  <c r="FG110" i="12"/>
  <c r="FH110" i="12"/>
  <c r="FF111" i="12"/>
  <c r="FG111" i="12"/>
  <c r="FH111" i="12"/>
  <c r="FF112" i="12"/>
  <c r="FG112" i="12"/>
  <c r="FH112" i="12"/>
  <c r="FF113" i="12"/>
  <c r="FG113" i="12"/>
  <c r="FH113" i="12"/>
  <c r="FF114" i="12"/>
  <c r="FG114" i="12"/>
  <c r="FH114" i="12"/>
  <c r="FF115" i="12"/>
  <c r="FG115" i="12"/>
  <c r="FH115" i="12"/>
  <c r="FF116" i="12"/>
  <c r="FI120" i="12" s="1"/>
  <c r="FG116" i="12"/>
  <c r="FJ120" i="12" s="1"/>
  <c r="FH116" i="12"/>
  <c r="FF117" i="12"/>
  <c r="FG117" i="12"/>
  <c r="FH117" i="12"/>
  <c r="FF118" i="12"/>
  <c r="FG118" i="12"/>
  <c r="FH118" i="12"/>
  <c r="FF119" i="12"/>
  <c r="FG119" i="12"/>
  <c r="FH119" i="12"/>
  <c r="FF120" i="12"/>
  <c r="FG120" i="12"/>
  <c r="FH120" i="12"/>
  <c r="FF121" i="12"/>
  <c r="FG121" i="12"/>
  <c r="FH121" i="12"/>
  <c r="FF122" i="12"/>
  <c r="FG122" i="12"/>
  <c r="FH122" i="12"/>
  <c r="FF123" i="12"/>
  <c r="FG123" i="12"/>
  <c r="FH123" i="12"/>
  <c r="FF124" i="12"/>
  <c r="FG124" i="12"/>
  <c r="FH124" i="12"/>
  <c r="FF125" i="12"/>
  <c r="FG125" i="12"/>
  <c r="FH125" i="12"/>
  <c r="FF126" i="12"/>
  <c r="FG126" i="12"/>
  <c r="FH126" i="12"/>
  <c r="FF127" i="12"/>
  <c r="FG127" i="12"/>
  <c r="FH127" i="12"/>
  <c r="FF128" i="12"/>
  <c r="FI132" i="12" s="1"/>
  <c r="FG128" i="12"/>
  <c r="FJ132" i="12" s="1"/>
  <c r="FH128" i="12"/>
  <c r="FF129" i="12"/>
  <c r="FG129" i="12"/>
  <c r="FH129" i="12"/>
  <c r="FF130" i="12"/>
  <c r="FG130" i="12"/>
  <c r="FH130" i="12"/>
  <c r="FF131" i="12"/>
  <c r="FG131" i="12"/>
  <c r="FH131" i="12"/>
  <c r="FF132" i="12"/>
  <c r="FG132" i="12"/>
  <c r="FH132" i="12"/>
  <c r="FF133" i="12"/>
  <c r="FG133" i="12"/>
  <c r="FH133" i="12"/>
  <c r="FF134" i="12"/>
  <c r="FG134" i="12"/>
  <c r="FH134" i="12"/>
  <c r="FF135" i="12"/>
  <c r="FG135" i="12"/>
  <c r="FH135" i="12"/>
  <c r="FF136" i="12"/>
  <c r="FG136" i="12"/>
  <c r="FH136" i="12"/>
  <c r="FF137" i="12"/>
  <c r="FG137" i="12"/>
  <c r="FH137" i="12"/>
  <c r="FF138" i="12"/>
  <c r="FG138" i="12"/>
  <c r="FH138" i="12"/>
  <c r="FF139" i="12"/>
  <c r="FG139" i="12"/>
  <c r="FH139" i="12"/>
  <c r="FF140" i="12"/>
  <c r="FI144" i="12" s="1"/>
  <c r="FG140" i="12"/>
  <c r="FJ144" i="12" s="1"/>
  <c r="FH140" i="12"/>
  <c r="FF141" i="12"/>
  <c r="FG141" i="12"/>
  <c r="FH141" i="12"/>
  <c r="FF142" i="12"/>
  <c r="FG142" i="12"/>
  <c r="FH142" i="12"/>
  <c r="FF143" i="12"/>
  <c r="FG143" i="12"/>
  <c r="FH143" i="12"/>
  <c r="FF144" i="12"/>
  <c r="FG144" i="12"/>
  <c r="FH144" i="12"/>
  <c r="FF145" i="12"/>
  <c r="FG145" i="12"/>
  <c r="FH145" i="12"/>
  <c r="FF146" i="12"/>
  <c r="FG146" i="12"/>
  <c r="FH146" i="12"/>
  <c r="FF147" i="12"/>
  <c r="FG147" i="12"/>
  <c r="FH147" i="12"/>
  <c r="FF148" i="12"/>
  <c r="FG148" i="12"/>
  <c r="FH148" i="12"/>
  <c r="FF149" i="12"/>
  <c r="FG149" i="12"/>
  <c r="FH149" i="12"/>
  <c r="FF150" i="12"/>
  <c r="FG150" i="12"/>
  <c r="FH150" i="12"/>
  <c r="FF151" i="12"/>
  <c r="FG151" i="12"/>
  <c r="FH151" i="12"/>
  <c r="FF152" i="12"/>
  <c r="FI156" i="12" s="1"/>
  <c r="FG152" i="12"/>
  <c r="FJ156" i="12" s="1"/>
  <c r="FH152" i="12"/>
  <c r="FF153" i="12"/>
  <c r="FG153" i="12"/>
  <c r="FH153" i="12"/>
  <c r="FF154" i="12"/>
  <c r="FG154" i="12"/>
  <c r="FH154" i="12"/>
  <c r="FF155" i="12"/>
  <c r="FG155" i="12"/>
  <c r="FH155" i="12"/>
  <c r="FF156" i="12"/>
  <c r="FG156" i="12"/>
  <c r="FH156" i="12"/>
  <c r="FF157" i="12"/>
  <c r="FG157" i="12"/>
  <c r="FH157" i="12"/>
  <c r="FF158" i="12"/>
  <c r="FG158" i="12"/>
  <c r="FH158" i="12"/>
  <c r="FF159" i="12"/>
  <c r="FG159" i="12"/>
  <c r="FH159" i="12"/>
  <c r="FF160" i="12"/>
  <c r="FG160" i="12"/>
  <c r="FH160" i="12"/>
  <c r="FF161" i="12"/>
  <c r="FG161" i="12"/>
  <c r="FH161" i="12"/>
  <c r="FF162" i="12"/>
  <c r="FG162" i="12"/>
  <c r="FH162" i="12"/>
  <c r="FF163" i="12"/>
  <c r="FG163" i="12"/>
  <c r="FH163" i="12"/>
  <c r="FF164" i="12"/>
  <c r="FI168" i="12" s="1"/>
  <c r="FG164" i="12"/>
  <c r="FJ168" i="12" s="1"/>
  <c r="FH164" i="12"/>
  <c r="FF165" i="12"/>
  <c r="FG165" i="12"/>
  <c r="FH165" i="12"/>
  <c r="FF166" i="12"/>
  <c r="FG166" i="12"/>
  <c r="FH166" i="12"/>
  <c r="FF167" i="12"/>
  <c r="FG167" i="12"/>
  <c r="FH167" i="12"/>
  <c r="FF168" i="12"/>
  <c r="FG168" i="12"/>
  <c r="FH168" i="12"/>
  <c r="FF169" i="12"/>
  <c r="FG169" i="12"/>
  <c r="FH169" i="12"/>
  <c r="FF170" i="12"/>
  <c r="FG170" i="12"/>
  <c r="FH170" i="12"/>
  <c r="FF171" i="12"/>
  <c r="FG171" i="12"/>
  <c r="FH171" i="12"/>
  <c r="FF172" i="12"/>
  <c r="FG172" i="12"/>
  <c r="FH172" i="12"/>
  <c r="FF173" i="12"/>
  <c r="FG173" i="12"/>
  <c r="FH173" i="12"/>
  <c r="FF174" i="12"/>
  <c r="FG174" i="12"/>
  <c r="FH174" i="12"/>
  <c r="FF175" i="12"/>
  <c r="FG175" i="12"/>
  <c r="FH175" i="12"/>
  <c r="FF176" i="12"/>
  <c r="FI180" i="12" s="1"/>
  <c r="FG176" i="12"/>
  <c r="FJ180" i="12" s="1"/>
  <c r="FH176" i="12"/>
  <c r="FF177" i="12"/>
  <c r="FG177" i="12"/>
  <c r="FH177" i="12"/>
  <c r="FF178" i="12"/>
  <c r="FG178" i="12"/>
  <c r="FH178" i="12"/>
  <c r="FF179" i="12"/>
  <c r="FG179" i="12"/>
  <c r="FH179" i="12"/>
  <c r="FF180" i="12"/>
  <c r="FG180" i="12"/>
  <c r="FH180" i="12"/>
  <c r="FF181" i="12"/>
  <c r="FG181" i="12"/>
  <c r="FH181" i="12"/>
  <c r="FF182" i="12"/>
  <c r="FG182" i="12"/>
  <c r="FH182" i="12"/>
  <c r="FF183" i="12"/>
  <c r="FG183" i="12"/>
  <c r="FH183" i="12"/>
  <c r="FF184" i="12"/>
  <c r="FG184" i="12"/>
  <c r="FH184" i="12"/>
  <c r="FF185" i="12"/>
  <c r="FG185" i="12"/>
  <c r="FH185" i="12"/>
  <c r="FF186" i="12"/>
  <c r="FG186" i="12"/>
  <c r="FH186" i="12"/>
  <c r="FF187" i="12"/>
  <c r="FG187" i="12"/>
  <c r="FH187" i="12"/>
  <c r="FH2" i="12"/>
  <c r="FG2" i="12"/>
  <c r="FF2" i="12"/>
  <c r="AL150" i="22" l="1"/>
  <c r="AL153" i="22" s="1" a="1"/>
  <c r="AL129" i="22" a="1"/>
  <c r="AN106" i="22"/>
  <c r="AO107" i="22"/>
  <c r="AM109" i="22"/>
  <c r="AN110" i="22"/>
  <c r="AM106" i="22"/>
  <c r="AM108" i="22"/>
  <c r="AO109" i="22"/>
  <c r="AO106" i="22"/>
  <c r="AM107" i="22"/>
  <c r="AN109" i="22"/>
  <c r="AN107" i="22"/>
  <c r="AM110" i="22"/>
  <c r="AN108" i="22"/>
  <c r="AO110" i="22"/>
  <c r="AO108" i="22"/>
  <c r="CP5" i="17"/>
  <c r="CQ6" i="17" s="1"/>
  <c r="CO5" i="17"/>
  <c r="FK180" i="12"/>
  <c r="FK168" i="12"/>
  <c r="FK156" i="12"/>
  <c r="FK144" i="12"/>
  <c r="FK132" i="12"/>
  <c r="FK120" i="12"/>
  <c r="FK108" i="12"/>
  <c r="FK96" i="12"/>
  <c r="FK84" i="12"/>
  <c r="FK72" i="12"/>
  <c r="FK60" i="12"/>
  <c r="FK48" i="12"/>
  <c r="FK36" i="12"/>
  <c r="FK24" i="12"/>
  <c r="FK12" i="12"/>
  <c r="AR5" i="7"/>
  <c r="AS5" i="7" s="1"/>
  <c r="AR9" i="7"/>
  <c r="AS9" i="7" s="1"/>
  <c r="AR13" i="7"/>
  <c r="AS13" i="7" s="1"/>
  <c r="AR6" i="7"/>
  <c r="AS6" i="7" s="1"/>
  <c r="AR7" i="7"/>
  <c r="AS7" i="7" s="1"/>
  <c r="AR8" i="7"/>
  <c r="AS8" i="7" s="1"/>
  <c r="AR10" i="7"/>
  <c r="AS10" i="7" s="1"/>
  <c r="AR11" i="7"/>
  <c r="AS11" i="7" s="1"/>
  <c r="AR12" i="7"/>
  <c r="AS12" i="7" s="1"/>
  <c r="AR4" i="7"/>
  <c r="AS4" i="7" s="1"/>
  <c r="AX4" i="7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30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29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97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3" i="1"/>
  <c r="AQ92" i="22" l="1"/>
  <c r="AQ95" i="22"/>
  <c r="AQ97" i="22"/>
  <c r="AQ99" i="22"/>
  <c r="AQ101" i="22"/>
  <c r="AQ91" i="22"/>
  <c r="AQ94" i="22"/>
  <c r="AQ90" i="22"/>
  <c r="AQ98" i="22"/>
  <c r="AQ103" i="22"/>
  <c r="AQ93" i="22"/>
  <c r="AQ100" i="22"/>
  <c r="AQ96" i="22"/>
  <c r="AQ104" i="22"/>
  <c r="AQ102" i="22"/>
  <c r="AO129" i="22"/>
  <c r="AL130" i="22"/>
  <c r="AP130" i="22"/>
  <c r="AO131" i="22"/>
  <c r="AN132" i="22"/>
  <c r="AM133" i="22"/>
  <c r="AL129" i="22"/>
  <c r="AN130" i="22"/>
  <c r="AM131" i="22"/>
  <c r="AL132" i="22"/>
  <c r="AP133" i="22"/>
  <c r="AM129" i="22"/>
  <c r="AO130" i="22"/>
  <c r="AN131" i="22"/>
  <c r="AM132" i="22"/>
  <c r="AL133" i="22"/>
  <c r="AN129" i="22"/>
  <c r="AP131" i="22"/>
  <c r="AO132" i="22"/>
  <c r="AN133" i="22"/>
  <c r="AP129" i="22"/>
  <c r="AM130" i="22"/>
  <c r="AL131" i="22"/>
  <c r="AP132" i="22"/>
  <c r="AO133" i="22"/>
  <c r="AO153" i="22"/>
  <c r="AL154" i="22"/>
  <c r="AL155" i="22"/>
  <c r="AL156" i="22"/>
  <c r="AL157" i="22"/>
  <c r="AM154" i="22"/>
  <c r="AM155" i="22"/>
  <c r="AM156" i="22"/>
  <c r="AM157" i="22"/>
  <c r="AL153" i="22"/>
  <c r="AN154" i="22"/>
  <c r="AN155" i="22"/>
  <c r="AN156" i="22"/>
  <c r="AN157" i="22"/>
  <c r="AM153" i="22"/>
  <c r="AO154" i="22"/>
  <c r="AO155" i="22"/>
  <c r="AO156" i="22"/>
  <c r="AO157" i="22"/>
  <c r="AN153" i="22"/>
  <c r="CU4" i="17"/>
  <c r="CG6" i="17"/>
  <c r="CM6" i="17" s="1"/>
  <c r="S130" i="1" l="1"/>
  <c r="S134" i="1"/>
  <c r="S138" i="1"/>
  <c r="S142" i="1"/>
  <c r="S131" i="1"/>
  <c r="S135" i="1"/>
  <c r="S139" i="1"/>
  <c r="S143" i="1"/>
  <c r="S133" i="1"/>
  <c r="S137" i="1"/>
  <c r="S141" i="1"/>
  <c r="S132" i="1"/>
  <c r="S136" i="1"/>
  <c r="S140" i="1"/>
  <c r="S144" i="1"/>
  <c r="AP137" i="22"/>
  <c r="AN161" i="22" s="1"/>
  <c r="AP139" i="22"/>
  <c r="AN163" i="22" s="1"/>
  <c r="AP141" i="22"/>
  <c r="AN165" i="22" s="1"/>
  <c r="AP143" i="22"/>
  <c r="AN167" i="22" s="1"/>
  <c r="AP145" i="22"/>
  <c r="AN169" i="22" s="1"/>
  <c r="AP147" i="22"/>
  <c r="AN171" i="22" s="1"/>
  <c r="AP149" i="22"/>
  <c r="AN173" i="22" s="1"/>
  <c r="AP136" i="22"/>
  <c r="AN160" i="22" s="1"/>
  <c r="AP144" i="22"/>
  <c r="AN168" i="22" s="1"/>
  <c r="AP138" i="22"/>
  <c r="AN162" i="22" s="1"/>
  <c r="AP146" i="22"/>
  <c r="AN170" i="22" s="1"/>
  <c r="AP140" i="22"/>
  <c r="AN164" i="22" s="1"/>
  <c r="AP148" i="22"/>
  <c r="AN172" i="22" s="1"/>
  <c r="AP142" i="22"/>
  <c r="AN166" i="22" s="1"/>
  <c r="AP150" i="22"/>
  <c r="AN174" i="22" s="1"/>
  <c r="AQ116" i="22"/>
  <c r="AQ117" i="22"/>
  <c r="AQ118" i="22"/>
  <c r="AQ119" i="22"/>
  <c r="AQ123" i="22"/>
  <c r="AQ124" i="22"/>
  <c r="AQ125" i="22"/>
  <c r="AQ126" i="22"/>
  <c r="AQ127" i="22"/>
  <c r="AQ115" i="22"/>
  <c r="AQ113" i="22"/>
  <c r="AQ114" i="22"/>
  <c r="AQ120" i="22"/>
  <c r="AQ121" i="22"/>
  <c r="AQ122" i="22"/>
  <c r="EF4" i="17"/>
  <c r="CP6" i="17"/>
  <c r="CO6" i="17"/>
  <c r="AA5" i="20"/>
  <c r="AB5" i="20"/>
  <c r="CQ7" i="17" l="1"/>
  <c r="CU5" i="17" s="1"/>
  <c r="CG7" i="17"/>
  <c r="CM7" i="17" s="1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Y69" i="14"/>
  <c r="BY68" i="14"/>
  <c r="BY67" i="14"/>
  <c r="BY66" i="14"/>
  <c r="BY65" i="14"/>
  <c r="BY64" i="14"/>
  <c r="BY63" i="14"/>
  <c r="BY62" i="14"/>
  <c r="BY61" i="14"/>
  <c r="BY60" i="14"/>
  <c r="BY59" i="14"/>
  <c r="BY58" i="14"/>
  <c r="BY57" i="14"/>
  <c r="BY56" i="14"/>
  <c r="BY55" i="14"/>
  <c r="BE192" i="14"/>
  <c r="BD192" i="14"/>
  <c r="BE180" i="14"/>
  <c r="BD180" i="14"/>
  <c r="BE168" i="14"/>
  <c r="BD168" i="14"/>
  <c r="BE156" i="14"/>
  <c r="BD156" i="14"/>
  <c r="BE144" i="14"/>
  <c r="BD144" i="14"/>
  <c r="BE132" i="14"/>
  <c r="BD132" i="14"/>
  <c r="BE120" i="14"/>
  <c r="BD120" i="14"/>
  <c r="BE108" i="14"/>
  <c r="BD108" i="14"/>
  <c r="BE96" i="14"/>
  <c r="BD96" i="14"/>
  <c r="BE84" i="14"/>
  <c r="BD84" i="14"/>
  <c r="BE72" i="14"/>
  <c r="BD72" i="14"/>
  <c r="BE60" i="14"/>
  <c r="BD60" i="14"/>
  <c r="BE48" i="14"/>
  <c r="BD48" i="14"/>
  <c r="BE36" i="14"/>
  <c r="BD36" i="14"/>
  <c r="BE24" i="14"/>
  <c r="BD24" i="14"/>
  <c r="BE12" i="14"/>
  <c r="BD12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55" i="14"/>
  <c r="BK70" i="14"/>
  <c r="BL70" i="14" s="1"/>
  <c r="BU58" i="14" s="1"/>
  <c r="BW58" i="14" s="1"/>
  <c r="BK69" i="14"/>
  <c r="BL69" i="14" s="1"/>
  <c r="BU57" i="14" s="1"/>
  <c r="BW57" i="14" s="1"/>
  <c r="BK68" i="14"/>
  <c r="BL68" i="14" s="1"/>
  <c r="BU56" i="14" s="1"/>
  <c r="BW56" i="14" s="1"/>
  <c r="BK67" i="14"/>
  <c r="BL67" i="14" s="1"/>
  <c r="BU55" i="14" s="1"/>
  <c r="BW55" i="14" s="1"/>
  <c r="BJ56" i="14"/>
  <c r="BK56" i="14" s="1"/>
  <c r="BL56" i="14" s="1"/>
  <c r="BU60" i="14" s="1"/>
  <c r="BW60" i="14" s="1"/>
  <c r="BJ57" i="14"/>
  <c r="BK57" i="14"/>
  <c r="BL57" i="14" s="1"/>
  <c r="BU61" i="14" s="1"/>
  <c r="BW61" i="14" s="1"/>
  <c r="BJ58" i="14"/>
  <c r="BK58" i="14" s="1"/>
  <c r="BL58" i="14" s="1"/>
  <c r="BU62" i="14" s="1"/>
  <c r="BW62" i="14" s="1"/>
  <c r="BJ59" i="14"/>
  <c r="BK59" i="14"/>
  <c r="BL59" i="14" s="1"/>
  <c r="BU63" i="14" s="1"/>
  <c r="BW63" i="14" s="1"/>
  <c r="BJ60" i="14"/>
  <c r="BK60" i="14" s="1"/>
  <c r="BL60" i="14" s="1"/>
  <c r="BU64" i="14" s="1"/>
  <c r="BW64" i="14" s="1"/>
  <c r="BJ61" i="14"/>
  <c r="BK61" i="14"/>
  <c r="BJ62" i="14"/>
  <c r="BK62" i="14" s="1"/>
  <c r="BL62" i="14" s="1"/>
  <c r="BU66" i="14" s="1"/>
  <c r="BW66" i="14" s="1"/>
  <c r="BJ63" i="14"/>
  <c r="BK63" i="14"/>
  <c r="BL63" i="14" s="1"/>
  <c r="BU67" i="14" s="1"/>
  <c r="BW67" i="14" s="1"/>
  <c r="BJ64" i="14"/>
  <c r="BK64" i="14" s="1"/>
  <c r="BL64" i="14" s="1"/>
  <c r="BU68" i="14" s="1"/>
  <c r="BW68" i="14" s="1"/>
  <c r="BJ65" i="14"/>
  <c r="BK65" i="14"/>
  <c r="BJ55" i="14"/>
  <c r="BI55" i="14"/>
  <c r="BJ68" i="14"/>
  <c r="BJ69" i="14"/>
  <c r="BJ70" i="14"/>
  <c r="BJ67" i="14"/>
  <c r="BI68" i="14"/>
  <c r="BI69" i="14"/>
  <c r="BI70" i="14"/>
  <c r="BI67" i="14"/>
  <c r="BL61" i="14"/>
  <c r="BU65" i="14" s="1"/>
  <c r="BW65" i="14" s="1"/>
  <c r="BL65" i="14"/>
  <c r="BU69" i="14" s="1"/>
  <c r="BW69" i="14" s="1"/>
  <c r="BK55" i="14"/>
  <c r="BL55" i="14" s="1"/>
  <c r="BU59" i="14" s="1"/>
  <c r="BW59" i="14" s="1"/>
  <c r="BI56" i="14"/>
  <c r="BI57" i="14"/>
  <c r="BI58" i="14"/>
  <c r="BI59" i="14"/>
  <c r="BI60" i="14"/>
  <c r="BI61" i="14"/>
  <c r="BI62" i="14"/>
  <c r="BI63" i="14"/>
  <c r="BI64" i="14"/>
  <c r="BI65" i="14"/>
  <c r="BG55" i="14" a="1"/>
  <c r="BG55" i="14"/>
  <c r="BH55" i="14"/>
  <c r="BG56" i="14"/>
  <c r="BH56" i="14"/>
  <c r="BG57" i="14"/>
  <c r="BH57" i="14"/>
  <c r="BG58" i="14"/>
  <c r="BH58" i="14"/>
  <c r="BG59" i="14"/>
  <c r="BH59" i="14"/>
  <c r="BG60" i="14"/>
  <c r="BH60" i="14"/>
  <c r="BG61" i="14"/>
  <c r="BH61" i="14"/>
  <c r="BG62" i="14"/>
  <c r="BH62" i="14"/>
  <c r="BG63" i="14"/>
  <c r="BH63" i="14"/>
  <c r="BG64" i="14"/>
  <c r="BH64" i="14"/>
  <c r="BG65" i="14"/>
  <c r="BH65" i="14"/>
  <c r="BJ26" i="14"/>
  <c r="BI26" i="14"/>
  <c r="BH26" i="14"/>
  <c r="AR2" i="14"/>
  <c r="AR3" i="14"/>
  <c r="AR4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U37" i="12"/>
  <c r="AU36" i="12"/>
  <c r="AU35" i="12"/>
  <c r="AU34" i="12"/>
  <c r="AU33" i="12"/>
  <c r="AU32" i="12"/>
  <c r="AU31" i="12"/>
  <c r="AU30" i="12"/>
  <c r="AU29" i="12"/>
  <c r="AU28" i="12"/>
  <c r="AU27" i="12"/>
  <c r="AU26" i="12"/>
  <c r="AU25" i="12"/>
  <c r="AU24" i="12"/>
  <c r="AU23" i="12"/>
  <c r="P5" i="12"/>
  <c r="P6" i="12"/>
  <c r="P7" i="12"/>
  <c r="AT51" i="12" s="1"/>
  <c r="P8" i="12"/>
  <c r="AT52" i="12" s="1"/>
  <c r="P9" i="12"/>
  <c r="AT53" i="12" s="1"/>
  <c r="P10" i="12"/>
  <c r="AT54" i="12" s="1"/>
  <c r="P11" i="12"/>
  <c r="AT55" i="12" s="1"/>
  <c r="P12" i="12"/>
  <c r="AT56" i="12" s="1"/>
  <c r="P13" i="12"/>
  <c r="P14" i="12"/>
  <c r="P15" i="12"/>
  <c r="P16" i="12"/>
  <c r="AT60" i="12" s="1"/>
  <c r="P17" i="12"/>
  <c r="P18" i="12"/>
  <c r="P4" i="12"/>
  <c r="AM48" i="12"/>
  <c r="AV48" i="12" s="1"/>
  <c r="AW48" i="12" s="1"/>
  <c r="AM49" i="12"/>
  <c r="AV49" i="12" s="1"/>
  <c r="AW49" i="12" s="1"/>
  <c r="AM50" i="12"/>
  <c r="AV50" i="12" s="1"/>
  <c r="AW50" i="12" s="1"/>
  <c r="AM51" i="12"/>
  <c r="AV51" i="12" s="1"/>
  <c r="AW51" i="12" s="1"/>
  <c r="AM52" i="12"/>
  <c r="AV52" i="12" s="1"/>
  <c r="AW52" i="12" s="1"/>
  <c r="AM53" i="12"/>
  <c r="AV53" i="12" s="1"/>
  <c r="AW53" i="12" s="1"/>
  <c r="AM54" i="12"/>
  <c r="AV54" i="12" s="1"/>
  <c r="AW54" i="12" s="1"/>
  <c r="AM55" i="12"/>
  <c r="AV55" i="12" s="1"/>
  <c r="AW55" i="12" s="1"/>
  <c r="AM56" i="12"/>
  <c r="AV56" i="12" s="1"/>
  <c r="AW56" i="12" s="1"/>
  <c r="AM57" i="12"/>
  <c r="AV57" i="12" s="1"/>
  <c r="AW57" i="12" s="1"/>
  <c r="AM58" i="12"/>
  <c r="AV58" i="12" s="1"/>
  <c r="AW58" i="12" s="1"/>
  <c r="AM59" i="12"/>
  <c r="AV59" i="12" s="1"/>
  <c r="AW59" i="12" s="1"/>
  <c r="AM60" i="12"/>
  <c r="AV60" i="12" s="1"/>
  <c r="AW60" i="12" s="1"/>
  <c r="AM61" i="12"/>
  <c r="AV61" i="12" s="1"/>
  <c r="AW61" i="12" s="1"/>
  <c r="AM62" i="12"/>
  <c r="AV62" i="12" s="1"/>
  <c r="AW62" i="12" s="1"/>
  <c r="AN47" i="12"/>
  <c r="AO47" i="12"/>
  <c r="AM47" i="12"/>
  <c r="EF5" i="17" l="1"/>
  <c r="CP7" i="17"/>
  <c r="CO7" i="17"/>
  <c r="AT50" i="12"/>
  <c r="AU60" i="12"/>
  <c r="AX60" i="12" s="1"/>
  <c r="AT62" i="12"/>
  <c r="AT58" i="12"/>
  <c r="P20" i="12"/>
  <c r="AU50" i="12" s="1"/>
  <c r="AX50" i="12" s="1"/>
  <c r="AU56" i="12"/>
  <c r="AX56" i="12" s="1"/>
  <c r="AU57" i="12"/>
  <c r="AX57" i="12" s="1"/>
  <c r="AU49" i="12"/>
  <c r="AX49" i="12" s="1"/>
  <c r="AT48" i="12"/>
  <c r="AT49" i="12"/>
  <c r="AT61" i="12"/>
  <c r="AT59" i="12"/>
  <c r="AT57" i="12"/>
  <c r="EQ26" i="12"/>
  <c r="EQ27" i="12"/>
  <c r="EQ28" i="12"/>
  <c r="EQ29" i="12"/>
  <c r="EQ30" i="12"/>
  <c r="EQ31" i="12"/>
  <c r="EQ32" i="12"/>
  <c r="EQ33" i="12"/>
  <c r="EQ34" i="12"/>
  <c r="EQ35" i="12"/>
  <c r="EQ36" i="12"/>
  <c r="EQ37" i="12"/>
  <c r="EQ38" i="12"/>
  <c r="EQ25" i="12"/>
  <c r="EG16" i="12"/>
  <c r="EA180" i="12"/>
  <c r="EF16" i="12" s="1"/>
  <c r="EG15" i="12"/>
  <c r="EA168" i="12"/>
  <c r="EF15" i="12" s="1"/>
  <c r="EG14" i="12"/>
  <c r="EA156" i="12"/>
  <c r="EF14" i="12" s="1"/>
  <c r="EG13" i="12"/>
  <c r="EA144" i="12"/>
  <c r="EF13" i="12" s="1"/>
  <c r="EG12" i="12"/>
  <c r="EA132" i="12"/>
  <c r="EF12" i="12" s="1"/>
  <c r="EG11" i="12"/>
  <c r="EA120" i="12"/>
  <c r="EF11" i="12" s="1"/>
  <c r="EG10" i="12"/>
  <c r="EA108" i="12"/>
  <c r="EF10" i="12" s="1"/>
  <c r="EG9" i="12"/>
  <c r="EA96" i="12"/>
  <c r="EF9" i="12" s="1"/>
  <c r="EG8" i="12"/>
  <c r="EA84" i="12"/>
  <c r="EF8" i="12" s="1"/>
  <c r="EG7" i="12"/>
  <c r="EA72" i="12"/>
  <c r="EF7" i="12" s="1"/>
  <c r="EG6" i="12"/>
  <c r="EA60" i="12"/>
  <c r="EF6" i="12" s="1"/>
  <c r="EG5" i="12"/>
  <c r="EA48" i="12"/>
  <c r="EF5" i="12" s="1"/>
  <c r="EG4" i="12"/>
  <c r="EA36" i="12"/>
  <c r="EF4" i="12" s="1"/>
  <c r="EG3" i="12"/>
  <c r="EA24" i="12"/>
  <c r="EF3" i="12" s="1"/>
  <c r="EB12" i="12"/>
  <c r="EA12" i="12"/>
  <c r="DU19" i="12"/>
  <c r="DH29" i="12" a="1"/>
  <c r="DH29" i="12" s="1"/>
  <c r="CQ8" i="17" l="1"/>
  <c r="CU6" i="17" s="1"/>
  <c r="EF6" i="17" s="1"/>
  <c r="CG8" i="17"/>
  <c r="CM8" i="17" s="1"/>
  <c r="AU51" i="12"/>
  <c r="AX51" i="12" s="1"/>
  <c r="AU48" i="12"/>
  <c r="AX48" i="12" s="1"/>
  <c r="AU61" i="12"/>
  <c r="AX61" i="12" s="1"/>
  <c r="AU52" i="12"/>
  <c r="AX52" i="12" s="1"/>
  <c r="AU58" i="12"/>
  <c r="AX58" i="12" s="1"/>
  <c r="AU54" i="12"/>
  <c r="AX54" i="12" s="1"/>
  <c r="AU62" i="12"/>
  <c r="AX62" i="12" s="1"/>
  <c r="EG70" i="12"/>
  <c r="EG71" i="12"/>
  <c r="EG72" i="12"/>
  <c r="EG75" i="12"/>
  <c r="EG76" i="12"/>
  <c r="EG78" i="12"/>
  <c r="EG80" i="12"/>
  <c r="EG83" i="12"/>
  <c r="AU53" i="12"/>
  <c r="AX53" i="12" s="1"/>
  <c r="AU59" i="12"/>
  <c r="AX59" i="12" s="1"/>
  <c r="AU55" i="12"/>
  <c r="AX55" i="12" s="1"/>
  <c r="EG28" i="12"/>
  <c r="EG73" i="12"/>
  <c r="EG29" i="12"/>
  <c r="EG74" i="12"/>
  <c r="EG32" i="12"/>
  <c r="EG77" i="12"/>
  <c r="EG79" i="12"/>
  <c r="EG34" i="12"/>
  <c r="EG36" i="12"/>
  <c r="EG81" i="12"/>
  <c r="EG37" i="12"/>
  <c r="EG82" i="12"/>
  <c r="EG31" i="12"/>
  <c r="ET4" i="12"/>
  <c r="EG26" i="12"/>
  <c r="EG33" i="12"/>
  <c r="ET11" i="12"/>
  <c r="EI17" i="12"/>
  <c r="ET16" i="12"/>
  <c r="ET14" i="12"/>
  <c r="ET6" i="12"/>
  <c r="ET12" i="12"/>
  <c r="ET3" i="12"/>
  <c r="EH17" i="12"/>
  <c r="EG25" i="12"/>
  <c r="ET8" i="12"/>
  <c r="ET10" i="12"/>
  <c r="EG38" i="12"/>
  <c r="EG30" i="12"/>
  <c r="ET5" i="12"/>
  <c r="ET9" i="12"/>
  <c r="ET13" i="12"/>
  <c r="ET15" i="12"/>
  <c r="ET7" i="12"/>
  <c r="EG35" i="12"/>
  <c r="EG27" i="12"/>
  <c r="DH36" i="12"/>
  <c r="DH32" i="12"/>
  <c r="DH39" i="12"/>
  <c r="DH35" i="12"/>
  <c r="DH31" i="12"/>
  <c r="DH38" i="12"/>
  <c r="DH34" i="12"/>
  <c r="DH30" i="12"/>
  <c r="DH37" i="12"/>
  <c r="DH33" i="12"/>
  <c r="AZ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X22" i="12"/>
  <c r="AW22" i="12"/>
  <c r="CJ17" i="12"/>
  <c r="CC17" i="12"/>
  <c r="DV3" i="12"/>
  <c r="DJ42" i="12" s="1"/>
  <c r="DV4" i="12"/>
  <c r="DJ43" i="12" s="1"/>
  <c r="DV5" i="12"/>
  <c r="DJ44" i="12" s="1"/>
  <c r="DV6" i="12"/>
  <c r="DJ29" i="12" s="1"/>
  <c r="DV7" i="12"/>
  <c r="DJ30" i="12" s="1"/>
  <c r="DV8" i="12"/>
  <c r="DJ31" i="12" s="1"/>
  <c r="DV9" i="12"/>
  <c r="DJ32" i="12" s="1"/>
  <c r="DV10" i="12"/>
  <c r="DJ33" i="12" s="1"/>
  <c r="DV11" i="12"/>
  <c r="DJ34" i="12" s="1"/>
  <c r="DV12" i="12"/>
  <c r="DJ35" i="12" s="1"/>
  <c r="DV13" i="12"/>
  <c r="DJ36" i="12" s="1"/>
  <c r="DV14" i="12"/>
  <c r="DJ37" i="12" s="1"/>
  <c r="DV15" i="12"/>
  <c r="DJ38" i="12" s="1"/>
  <c r="DV16" i="12"/>
  <c r="DJ39" i="12" s="1"/>
  <c r="DV17" i="12"/>
  <c r="DV2" i="12"/>
  <c r="DA20" i="12"/>
  <c r="DB3" i="12"/>
  <c r="DB4" i="12"/>
  <c r="DB5" i="12"/>
  <c r="DB6" i="12"/>
  <c r="CP24" i="12" s="1"/>
  <c r="DB7" i="12"/>
  <c r="CP25" i="12" s="1"/>
  <c r="DB8" i="12"/>
  <c r="CP26" i="12" s="1"/>
  <c r="DB9" i="12"/>
  <c r="CP27" i="12" s="1"/>
  <c r="DB10" i="12"/>
  <c r="CP28" i="12" s="1"/>
  <c r="DB11" i="12"/>
  <c r="CP29" i="12" s="1"/>
  <c r="DB12" i="12"/>
  <c r="CP30" i="12" s="1"/>
  <c r="DB13" i="12"/>
  <c r="CP31" i="12" s="1"/>
  <c r="DB14" i="12"/>
  <c r="CP32" i="12" s="1"/>
  <c r="DB15" i="12"/>
  <c r="CP33" i="12" s="1"/>
  <c r="DB16" i="12"/>
  <c r="CP34" i="12" s="1"/>
  <c r="DB17" i="12"/>
  <c r="DB2" i="12"/>
  <c r="CP8" i="17" l="1"/>
  <c r="CO8" i="17"/>
  <c r="DB20" i="12"/>
  <c r="CQ29" i="12" s="1"/>
  <c r="CR29" i="12" s="1"/>
  <c r="CQ31" i="12"/>
  <c r="CR31" i="12" s="1"/>
  <c r="CQ30" i="12"/>
  <c r="CR30" i="12" s="1"/>
  <c r="CQ34" i="12"/>
  <c r="CR34" i="12" s="1"/>
  <c r="CP38" i="12"/>
  <c r="CP37" i="12"/>
  <c r="DJ41" i="12"/>
  <c r="DV19" i="12"/>
  <c r="DK42" i="12" s="1"/>
  <c r="DL42" i="12" s="1"/>
  <c r="CP40" i="12"/>
  <c r="CP39" i="12"/>
  <c r="CQ9" i="17" l="1"/>
  <c r="CU7" i="17" s="1"/>
  <c r="EF7" i="17" s="1"/>
  <c r="CG9" i="17"/>
  <c r="CM9" i="17" s="1"/>
  <c r="CQ38" i="12"/>
  <c r="CR38" i="12" s="1"/>
  <c r="CS38" i="12" s="1"/>
  <c r="CF3" i="12" s="1"/>
  <c r="CG3" i="12" s="1"/>
  <c r="CJ19" i="12" s="1"/>
  <c r="CQ24" i="12"/>
  <c r="CR24" i="12" s="1"/>
  <c r="CQ39" i="12"/>
  <c r="CR39" i="12" s="1"/>
  <c r="CS39" i="12" s="1"/>
  <c r="CF4" i="12" s="1"/>
  <c r="CG4" i="12" s="1"/>
  <c r="CQ37" i="12"/>
  <c r="CR37" i="12" s="1"/>
  <c r="CS37" i="12" s="1"/>
  <c r="CF2" i="12" s="1"/>
  <c r="CG2" i="12" s="1"/>
  <c r="CK70" i="12" s="1"/>
  <c r="CQ40" i="12"/>
  <c r="CR40" i="12" s="1"/>
  <c r="CS40" i="12" s="1"/>
  <c r="CF5" i="12" s="1"/>
  <c r="CG5" i="12" s="1"/>
  <c r="CJ21" i="12" s="1"/>
  <c r="CQ33" i="12"/>
  <c r="CR33" i="12" s="1"/>
  <c r="CQ28" i="12"/>
  <c r="CR28" i="12" s="1"/>
  <c r="CQ26" i="12"/>
  <c r="CR26" i="12" s="1"/>
  <c r="CQ25" i="12"/>
  <c r="CR25" i="12" s="1"/>
  <c r="CQ27" i="12"/>
  <c r="CR27" i="12" s="1"/>
  <c r="CQ32" i="12"/>
  <c r="CR32" i="12" s="1"/>
  <c r="DK43" i="12"/>
  <c r="DL43" i="12" s="1"/>
  <c r="EO5" i="12" s="1"/>
  <c r="DK30" i="12"/>
  <c r="DL30" i="12" s="1"/>
  <c r="EO8" i="12" s="1"/>
  <c r="DK35" i="12"/>
  <c r="DL35" i="12" s="1"/>
  <c r="EO13" i="12" s="1"/>
  <c r="DK32" i="12"/>
  <c r="DL32" i="12" s="1"/>
  <c r="EO10" i="12" s="1"/>
  <c r="DK33" i="12"/>
  <c r="DL33" i="12" s="1"/>
  <c r="EO11" i="12" s="1"/>
  <c r="CJ18" i="12"/>
  <c r="DK38" i="12"/>
  <c r="DL38" i="12" s="1"/>
  <c r="EO16" i="12" s="1"/>
  <c r="DK39" i="12"/>
  <c r="DL39" i="12" s="1"/>
  <c r="DK36" i="12"/>
  <c r="DL36" i="12" s="1"/>
  <c r="EO14" i="12" s="1"/>
  <c r="DK37" i="12"/>
  <c r="DL37" i="12" s="1"/>
  <c r="EO15" i="12" s="1"/>
  <c r="DK31" i="12"/>
  <c r="DL31" i="12" s="1"/>
  <c r="EO9" i="12" s="1"/>
  <c r="DK44" i="12"/>
  <c r="DL44" i="12" s="1"/>
  <c r="DM44" i="12" s="1"/>
  <c r="EM6" i="12" s="1"/>
  <c r="EN6" i="12" s="1"/>
  <c r="DK29" i="12"/>
  <c r="DL29" i="12" s="1"/>
  <c r="EO7" i="12" s="1"/>
  <c r="DK41" i="12"/>
  <c r="DL41" i="12" s="1"/>
  <c r="EO3" i="12" s="1"/>
  <c r="DK34" i="12"/>
  <c r="DL34" i="12" s="1"/>
  <c r="EO12" i="12" s="1"/>
  <c r="CK71" i="12"/>
  <c r="CJ20" i="12"/>
  <c r="CK72" i="12"/>
  <c r="DM42" i="12"/>
  <c r="EM4" i="12" s="1"/>
  <c r="EN4" i="12" s="1"/>
  <c r="EO4" i="12"/>
  <c r="DM41" i="12"/>
  <c r="EM3" i="12" s="1"/>
  <c r="EN3" i="12" s="1"/>
  <c r="DM43" i="12"/>
  <c r="EM5" i="12" s="1"/>
  <c r="EN5" i="12" s="1"/>
  <c r="CP9" i="17" l="1"/>
  <c r="CO9" i="17"/>
  <c r="CK73" i="12"/>
  <c r="EO6" i="12"/>
  <c r="EP6" i="12" s="1"/>
  <c r="EP5" i="12"/>
  <c r="EP3" i="12"/>
  <c r="EP4" i="12"/>
  <c r="CQ10" i="17" l="1"/>
  <c r="CU8" i="17" s="1"/>
  <c r="EF8" i="17" s="1"/>
  <c r="CG10" i="17"/>
  <c r="CM10" i="17" s="1"/>
  <c r="ES4" i="12"/>
  <c r="ER26" i="12"/>
  <c r="ES6" i="12"/>
  <c r="ER28" i="12"/>
  <c r="ER25" i="12"/>
  <c r="EL92" i="12" s="1"/>
  <c r="ES3" i="12"/>
  <c r="ER27" i="12"/>
  <c r="ES5" i="12"/>
  <c r="DX4" i="16"/>
  <c r="DX5" i="16"/>
  <c r="DX6" i="16"/>
  <c r="DX7" i="16"/>
  <c r="DX8" i="16"/>
  <c r="DX9" i="16"/>
  <c r="DX10" i="16"/>
  <c r="DX11" i="16"/>
  <c r="DX12" i="16"/>
  <c r="DX13" i="16"/>
  <c r="DX14" i="16"/>
  <c r="DX15" i="16"/>
  <c r="DX16" i="16"/>
  <c r="DX17" i="16"/>
  <c r="DX3" i="16"/>
  <c r="BI2" i="7"/>
  <c r="CC2" i="7" s="1"/>
  <c r="BI3" i="7"/>
  <c r="CC3" i="7" s="1"/>
  <c r="BI4" i="7"/>
  <c r="CC4" i="7" s="1"/>
  <c r="BI5" i="7"/>
  <c r="CC5" i="7" s="1"/>
  <c r="BI6" i="7"/>
  <c r="CC6" i="7" s="1"/>
  <c r="BI7" i="7"/>
  <c r="CC7" i="7" s="1"/>
  <c r="BI8" i="7"/>
  <c r="CC8" i="7" s="1"/>
  <c r="BI9" i="7"/>
  <c r="CC9" i="7" s="1"/>
  <c r="BI10" i="7"/>
  <c r="CC10" i="7" s="1"/>
  <c r="BI11" i="7"/>
  <c r="CC11" i="7" s="1"/>
  <c r="BI1" i="7"/>
  <c r="BD1" i="7"/>
  <c r="AT8" i="7"/>
  <c r="AU8" i="7" s="1"/>
  <c r="AT9" i="7"/>
  <c r="AU9" i="7"/>
  <c r="AT10" i="7"/>
  <c r="AU10" i="7"/>
  <c r="AT11" i="7"/>
  <c r="AU11" i="7"/>
  <c r="AT12" i="7"/>
  <c r="AU12" i="7" s="1"/>
  <c r="AV12" i="7" s="1"/>
  <c r="AT13" i="7"/>
  <c r="AU13" i="7"/>
  <c r="AT7" i="7"/>
  <c r="AU7" i="7" s="1"/>
  <c r="AT6" i="7"/>
  <c r="AU6" i="7" s="1"/>
  <c r="AV6" i="7" s="1"/>
  <c r="AT5" i="7"/>
  <c r="AU5" i="7" s="1"/>
  <c r="AX7" i="7"/>
  <c r="AE135" i="7"/>
  <c r="AX13" i="7" s="1"/>
  <c r="AE123" i="7"/>
  <c r="AX12" i="7" s="1"/>
  <c r="AE111" i="7"/>
  <c r="AX11" i="7" s="1"/>
  <c r="AE99" i="7"/>
  <c r="AX10" i="7" s="1"/>
  <c r="AE87" i="7"/>
  <c r="AX9" i="7" s="1"/>
  <c r="AE75" i="7"/>
  <c r="AX8" i="7" s="1"/>
  <c r="AE63" i="7"/>
  <c r="AE51" i="7"/>
  <c r="AX6" i="7" s="1"/>
  <c r="AE39" i="7"/>
  <c r="AX5" i="7" s="1"/>
  <c r="AJ2" i="7"/>
  <c r="AZ4" i="7" s="1"/>
  <c r="BV2" i="7" s="1"/>
  <c r="AT4" i="7"/>
  <c r="AU4" i="7" s="1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3" i="7"/>
  <c r="AM1" i="7"/>
  <c r="AJ11" i="7"/>
  <c r="AD134" i="7"/>
  <c r="AC134" i="7"/>
  <c r="AB134" i="7"/>
  <c r="AH11" i="7" s="1"/>
  <c r="AJ10" i="7"/>
  <c r="AD122" i="7"/>
  <c r="AC122" i="7"/>
  <c r="AB122" i="7"/>
  <c r="AH10" i="7" s="1"/>
  <c r="AJ9" i="7"/>
  <c r="AD110" i="7"/>
  <c r="AC110" i="7"/>
  <c r="AB110" i="7"/>
  <c r="AH9" i="7" s="1"/>
  <c r="AE98" i="7"/>
  <c r="AJ8" i="7" s="1"/>
  <c r="AD98" i="7"/>
  <c r="AC98" i="7"/>
  <c r="AB98" i="7"/>
  <c r="AH8" i="7" s="1"/>
  <c r="AE86" i="7"/>
  <c r="AJ7" i="7" s="1"/>
  <c r="AD86" i="7"/>
  <c r="AC86" i="7"/>
  <c r="AB86" i="7"/>
  <c r="AH7" i="7" s="1"/>
  <c r="AE74" i="7"/>
  <c r="AJ6" i="7" s="1"/>
  <c r="AD74" i="7"/>
  <c r="AC74" i="7"/>
  <c r="AB74" i="7"/>
  <c r="AH6" i="7" s="1"/>
  <c r="AE62" i="7"/>
  <c r="AJ5" i="7" s="1"/>
  <c r="AD62" i="7"/>
  <c r="AC62" i="7"/>
  <c r="AB62" i="7"/>
  <c r="AH5" i="7" s="1"/>
  <c r="AE50" i="7"/>
  <c r="AJ4" i="7" s="1"/>
  <c r="AD50" i="7"/>
  <c r="AC50" i="7"/>
  <c r="AB50" i="7"/>
  <c r="AH4" i="7" s="1"/>
  <c r="AE38" i="7"/>
  <c r="AJ3" i="7" s="1"/>
  <c r="AD38" i="7"/>
  <c r="AC38" i="7"/>
  <c r="AB38" i="7"/>
  <c r="AH3" i="7" s="1"/>
  <c r="AB26" i="7"/>
  <c r="AH2" i="7" s="1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3" i="17"/>
  <c r="AD132" i="17"/>
  <c r="AK11" i="17" s="1"/>
  <c r="AC132" i="17"/>
  <c r="AJ11" i="17" s="1"/>
  <c r="AB132" i="17"/>
  <c r="AI11" i="17" s="1"/>
  <c r="AD120" i="17"/>
  <c r="AK10" i="17" s="1"/>
  <c r="AC120" i="17"/>
  <c r="AJ10" i="17" s="1"/>
  <c r="AB120" i="17"/>
  <c r="AI10" i="17" s="1"/>
  <c r="AD108" i="17"/>
  <c r="AC108" i="17"/>
  <c r="AJ9" i="17" s="1"/>
  <c r="AB108" i="17"/>
  <c r="AI9" i="17" s="1"/>
  <c r="AD96" i="17"/>
  <c r="AK8" i="17" s="1"/>
  <c r="AC96" i="17"/>
  <c r="AJ8" i="17" s="1"/>
  <c r="AB96" i="17"/>
  <c r="AI8" i="17" s="1"/>
  <c r="AD84" i="17"/>
  <c r="AK7" i="17" s="1"/>
  <c r="AC84" i="17"/>
  <c r="AJ7" i="17" s="1"/>
  <c r="AB84" i="17"/>
  <c r="AI7" i="17" s="1"/>
  <c r="AD72" i="17"/>
  <c r="AK6" i="17" s="1"/>
  <c r="AC72" i="17"/>
  <c r="AJ6" i="17" s="1"/>
  <c r="AB72" i="17"/>
  <c r="AD60" i="17"/>
  <c r="AK5" i="17" s="1"/>
  <c r="AC60" i="17"/>
  <c r="AJ5" i="17" s="1"/>
  <c r="AB60" i="17"/>
  <c r="AI5" i="17" s="1"/>
  <c r="AD48" i="17"/>
  <c r="AK4" i="17" s="1"/>
  <c r="AC48" i="17"/>
  <c r="AJ4" i="17" s="1"/>
  <c r="AB48" i="17"/>
  <c r="AI4" i="17" s="1"/>
  <c r="AD36" i="17"/>
  <c r="AK3" i="17" s="1"/>
  <c r="AC36" i="17"/>
  <c r="AJ3" i="17" s="1"/>
  <c r="AB36" i="17"/>
  <c r="AB24" i="17"/>
  <c r="AI2" i="17" s="1"/>
  <c r="AC24" i="17"/>
  <c r="AJ2" i="17" s="1"/>
  <c r="AK9" i="17"/>
  <c r="AI6" i="17"/>
  <c r="AI3" i="17"/>
  <c r="AD24" i="17"/>
  <c r="AK2" i="17" s="1"/>
  <c r="AK12" i="7" l="1"/>
  <c r="BY13" i="7"/>
  <c r="CP13" i="7" s="1"/>
  <c r="EB13" i="7" s="1"/>
  <c r="O21" i="7"/>
  <c r="BX13" i="7" s="1"/>
  <c r="BX2" i="7"/>
  <c r="AK11" i="7"/>
  <c r="BX11" i="7"/>
  <c r="BZ2" i="7"/>
  <c r="CQ2" i="7" s="1"/>
  <c r="DY2" i="7"/>
  <c r="AI3" i="7"/>
  <c r="BD3" i="7" s="1"/>
  <c r="AI4" i="7"/>
  <c r="BD4" i="7" s="1"/>
  <c r="AI5" i="7"/>
  <c r="BD5" i="7" s="1"/>
  <c r="AI7" i="7"/>
  <c r="BD7" i="7" s="1"/>
  <c r="AI8" i="7"/>
  <c r="BD8" i="7" s="1"/>
  <c r="AI9" i="7"/>
  <c r="BD9" i="7" s="1"/>
  <c r="AI11" i="7"/>
  <c r="BD11" i="7" s="1"/>
  <c r="AK14" i="7"/>
  <c r="BX14" i="7"/>
  <c r="BY3" i="7"/>
  <c r="CP3" i="7" s="1"/>
  <c r="EB3" i="7" s="1"/>
  <c r="BE2" i="7"/>
  <c r="AM16" i="17"/>
  <c r="BZ16" i="17" s="1"/>
  <c r="CV16" i="17" s="1"/>
  <c r="AM15" i="17"/>
  <c r="BZ15" i="17" s="1"/>
  <c r="CV15" i="17" s="1"/>
  <c r="AM13" i="17"/>
  <c r="BZ13" i="17" s="1"/>
  <c r="CV13" i="17" s="1"/>
  <c r="CP10" i="17"/>
  <c r="CO10" i="17"/>
  <c r="AM8" i="17"/>
  <c r="BZ8" i="17" s="1"/>
  <c r="CV8" i="17" s="1"/>
  <c r="O21" i="17"/>
  <c r="AM4" i="17" s="1"/>
  <c r="BZ4" i="17" s="1"/>
  <c r="CV4" i="17" s="1"/>
  <c r="AM5" i="17"/>
  <c r="BZ5" i="17" s="1"/>
  <c r="CV5" i="17" s="1"/>
  <c r="AM9" i="17"/>
  <c r="BZ9" i="17" s="1"/>
  <c r="CV9" i="17" s="1"/>
  <c r="AM7" i="17"/>
  <c r="BZ7" i="17" s="1"/>
  <c r="CV7" i="17" s="1"/>
  <c r="AM3" i="17"/>
  <c r="BZ3" i="17" s="1"/>
  <c r="CV3" i="17" s="1"/>
  <c r="AM10" i="17"/>
  <c r="BZ10" i="17" s="1"/>
  <c r="CV10" i="17" s="1"/>
  <c r="AM2" i="17"/>
  <c r="BZ2" i="17" s="1"/>
  <c r="CV2" i="17" s="1"/>
  <c r="P21" i="17"/>
  <c r="AL8" i="17" s="1"/>
  <c r="CA8" i="17" s="1"/>
  <c r="CW8" i="17" s="1"/>
  <c r="EG8" i="17" s="1"/>
  <c r="EK73" i="12"/>
  <c r="EL95" i="12"/>
  <c r="EK72" i="12"/>
  <c r="EL94" i="12"/>
  <c r="EK71" i="12"/>
  <c r="EL93" i="12"/>
  <c r="EK70" i="12"/>
  <c r="AV13" i="7"/>
  <c r="AV7" i="7"/>
  <c r="AV8" i="7"/>
  <c r="AV4" i="7"/>
  <c r="AV11" i="7"/>
  <c r="AV10" i="7"/>
  <c r="AV9" i="7"/>
  <c r="AV5" i="7"/>
  <c r="P21" i="7"/>
  <c r="BY14" i="7" s="1"/>
  <c r="CP14" i="7" s="1"/>
  <c r="EB14" i="7" s="1"/>
  <c r="AI6" i="7"/>
  <c r="BD6" i="7" s="1"/>
  <c r="AI10" i="7"/>
  <c r="BD10" i="7" s="1"/>
  <c r="AK5" i="7"/>
  <c r="AL8" i="7"/>
  <c r="AK8" i="7"/>
  <c r="AK7" i="7"/>
  <c r="AK6" i="7"/>
  <c r="AL5" i="7"/>
  <c r="AL10" i="7"/>
  <c r="AL11" i="7"/>
  <c r="AK2" i="7"/>
  <c r="AL2" i="7"/>
  <c r="AJ22" i="17" a="1"/>
  <c r="AK25" i="17" s="1"/>
  <c r="EP3" i="16"/>
  <c r="EP4" i="16"/>
  <c r="DU5" i="16" s="1"/>
  <c r="EP5" i="16"/>
  <c r="EP6" i="16"/>
  <c r="EP7" i="16"/>
  <c r="EP8" i="16"/>
  <c r="EP9" i="16"/>
  <c r="EP10" i="16"/>
  <c r="EP11" i="16"/>
  <c r="EP12" i="16"/>
  <c r="DU13" i="16" s="1"/>
  <c r="EP13" i="16"/>
  <c r="EP14" i="16"/>
  <c r="EP15" i="16"/>
  <c r="EP16" i="16"/>
  <c r="EP17" i="16"/>
  <c r="EP18" i="16"/>
  <c r="EP2" i="16"/>
  <c r="DT4" i="16"/>
  <c r="DT5" i="16"/>
  <c r="DT6" i="16"/>
  <c r="DT7" i="16"/>
  <c r="DT8" i="16"/>
  <c r="DT9" i="16"/>
  <c r="DT10" i="16"/>
  <c r="DT11" i="16"/>
  <c r="DT12" i="16"/>
  <c r="DT13" i="16"/>
  <c r="DT14" i="16"/>
  <c r="DT15" i="16"/>
  <c r="DT16" i="16"/>
  <c r="DT17" i="16"/>
  <c r="DS4" i="16"/>
  <c r="DS5" i="16"/>
  <c r="DS6" i="16"/>
  <c r="DS7" i="16"/>
  <c r="DS8" i="16"/>
  <c r="DS9" i="16"/>
  <c r="DS10" i="16"/>
  <c r="DS11" i="16"/>
  <c r="DS12" i="16"/>
  <c r="DS13" i="16"/>
  <c r="DS14" i="16"/>
  <c r="DS15" i="16"/>
  <c r="DS16" i="16"/>
  <c r="DS17" i="16"/>
  <c r="DS2" i="16"/>
  <c r="EO20" i="16"/>
  <c r="EP20" i="16"/>
  <c r="DU7" i="16" s="1"/>
  <c r="BY15" i="7" l="1"/>
  <c r="CP15" i="7" s="1"/>
  <c r="EB15" i="7" s="1"/>
  <c r="BY4" i="7"/>
  <c r="CP4" i="7" s="1"/>
  <c r="EB4" i="7" s="1"/>
  <c r="BY6" i="7"/>
  <c r="CP6" i="7" s="1"/>
  <c r="EB6" i="7" s="1"/>
  <c r="AL16" i="7"/>
  <c r="BX5" i="7"/>
  <c r="BY7" i="7"/>
  <c r="CP7" i="7" s="1"/>
  <c r="EB7" i="7" s="1"/>
  <c r="BY2" i="7"/>
  <c r="CP2" i="7" s="1"/>
  <c r="BY8" i="7"/>
  <c r="CP8" i="7" s="1"/>
  <c r="EB8" i="7" s="1"/>
  <c r="BY16" i="7"/>
  <c r="CP16" i="7" s="1"/>
  <c r="EB16" i="7" s="1"/>
  <c r="AL13" i="7"/>
  <c r="BX12" i="7"/>
  <c r="BY10" i="7"/>
  <c r="CP10" i="7" s="1"/>
  <c r="EB10" i="7" s="1"/>
  <c r="BX9" i="7"/>
  <c r="AL3" i="7"/>
  <c r="AL6" i="7"/>
  <c r="AK10" i="7"/>
  <c r="AK4" i="7"/>
  <c r="AK9" i="7"/>
  <c r="BY11" i="7"/>
  <c r="CP11" i="7" s="1"/>
  <c r="EB11" i="7" s="1"/>
  <c r="BX6" i="7"/>
  <c r="AL12" i="7"/>
  <c r="BX3" i="7"/>
  <c r="BX15" i="7"/>
  <c r="BY5" i="7"/>
  <c r="CP5" i="7" s="1"/>
  <c r="EB5" i="7" s="1"/>
  <c r="BX4" i="7"/>
  <c r="AK16" i="7"/>
  <c r="AL14" i="7"/>
  <c r="AK13" i="7"/>
  <c r="AL7" i="7"/>
  <c r="AL9" i="7"/>
  <c r="AK3" i="7"/>
  <c r="AL4" i="7"/>
  <c r="AL15" i="7"/>
  <c r="BX10" i="7"/>
  <c r="BY12" i="7"/>
  <c r="CP12" i="7" s="1"/>
  <c r="EB12" i="7" s="1"/>
  <c r="BX7" i="7"/>
  <c r="AK15" i="7"/>
  <c r="BY9" i="7"/>
  <c r="CP9" i="7" s="1"/>
  <c r="EB9" i="7" s="1"/>
  <c r="BX8" i="7"/>
  <c r="BX16" i="7"/>
  <c r="BD2" i="7"/>
  <c r="AQ4" i="7"/>
  <c r="AL16" i="17"/>
  <c r="CA16" i="17" s="1"/>
  <c r="CW16" i="17" s="1"/>
  <c r="AL14" i="17"/>
  <c r="CA14" i="17" s="1"/>
  <c r="CW14" i="17" s="1"/>
  <c r="EG14" i="17" s="1"/>
  <c r="AL13" i="17"/>
  <c r="CA13" i="17" s="1"/>
  <c r="CW13" i="17" s="1"/>
  <c r="EG13" i="17" s="1"/>
  <c r="AL15" i="17"/>
  <c r="CA15" i="17" s="1"/>
  <c r="CW15" i="17" s="1"/>
  <c r="EG15" i="17" s="1"/>
  <c r="AL12" i="17"/>
  <c r="CA12" i="17" s="1"/>
  <c r="CW12" i="17" s="1"/>
  <c r="EG12" i="17" s="1"/>
  <c r="AM14" i="17"/>
  <c r="BZ14" i="17" s="1"/>
  <c r="CV14" i="17" s="1"/>
  <c r="AM12" i="17"/>
  <c r="BZ12" i="17" s="1"/>
  <c r="CV12" i="17" s="1"/>
  <c r="AW4" i="7"/>
  <c r="AY4" i="7" s="1"/>
  <c r="AZ5" i="7" s="1"/>
  <c r="BV3" i="7" s="1"/>
  <c r="CQ11" i="17"/>
  <c r="CU9" i="17" s="1"/>
  <c r="EF9" i="17" s="1"/>
  <c r="CG11" i="17"/>
  <c r="CM11" i="17" s="1"/>
  <c r="AM6" i="17"/>
  <c r="BZ6" i="17" s="1"/>
  <c r="CV6" i="17" s="1"/>
  <c r="AM11" i="17"/>
  <c r="BZ11" i="17" s="1"/>
  <c r="CV11" i="17" s="1"/>
  <c r="AL5" i="17"/>
  <c r="CA5" i="17" s="1"/>
  <c r="CW5" i="17" s="1"/>
  <c r="EG5" i="17" s="1"/>
  <c r="AL9" i="17"/>
  <c r="CA9" i="17" s="1"/>
  <c r="CW9" i="17" s="1"/>
  <c r="EG9" i="17" s="1"/>
  <c r="AL6" i="17"/>
  <c r="CA6" i="17" s="1"/>
  <c r="CW6" i="17" s="1"/>
  <c r="EG6" i="17" s="1"/>
  <c r="AL10" i="17"/>
  <c r="CA10" i="17" s="1"/>
  <c r="CW10" i="17" s="1"/>
  <c r="EG10" i="17" s="1"/>
  <c r="AL3" i="17"/>
  <c r="CA3" i="17" s="1"/>
  <c r="CW3" i="17" s="1"/>
  <c r="EG3" i="17" s="1"/>
  <c r="AL7" i="17"/>
  <c r="CA7" i="17" s="1"/>
  <c r="CW7" i="17" s="1"/>
  <c r="EG7" i="17" s="1"/>
  <c r="AL11" i="17"/>
  <c r="CA11" i="17" s="1"/>
  <c r="CW11" i="17" s="1"/>
  <c r="EG11" i="17" s="1"/>
  <c r="AL2" i="17"/>
  <c r="CA2" i="17" s="1"/>
  <c r="CW2" i="17" s="1"/>
  <c r="EG2" i="17" s="1"/>
  <c r="AL4" i="17"/>
  <c r="CA4" i="17" s="1"/>
  <c r="CW4" i="17" s="1"/>
  <c r="EG4" i="17" s="1"/>
  <c r="AI21" i="7" a="1"/>
  <c r="AK23" i="17"/>
  <c r="AK22" i="17"/>
  <c r="AK24" i="17"/>
  <c r="AJ26" i="17"/>
  <c r="AK26" i="17"/>
  <c r="AJ22" i="17"/>
  <c r="AJ23" i="17"/>
  <c r="AJ24" i="17"/>
  <c r="AJ25" i="17"/>
  <c r="DU17" i="16"/>
  <c r="DU12" i="16"/>
  <c r="DU6" i="16"/>
  <c r="DU16" i="16"/>
  <c r="DU10" i="16"/>
  <c r="DU14" i="16"/>
  <c r="DU9" i="16"/>
  <c r="DU4" i="16"/>
  <c r="DU3" i="16"/>
  <c r="DU8" i="16"/>
  <c r="DU15" i="16"/>
  <c r="DU11" i="16"/>
  <c r="BV24" i="7" l="1" a="1"/>
  <c r="BX28" i="7"/>
  <c r="BW28" i="7"/>
  <c r="BW27" i="7"/>
  <c r="BV27" i="7"/>
  <c r="BV26" i="7"/>
  <c r="BX25" i="7"/>
  <c r="BX24" i="7"/>
  <c r="BW24" i="7"/>
  <c r="BV28" i="7"/>
  <c r="BV25" i="7"/>
  <c r="BW26" i="7"/>
  <c r="BX27" i="7"/>
  <c r="BV24" i="7"/>
  <c r="BW25" i="7"/>
  <c r="BX26" i="7"/>
  <c r="EB2" i="7"/>
  <c r="BZ3" i="7"/>
  <c r="CQ3" i="7" s="1"/>
  <c r="DY3" i="7"/>
  <c r="EG16" i="17"/>
  <c r="BW22" i="17" a="1"/>
  <c r="BX24" i="17" s="1"/>
  <c r="CP11" i="17"/>
  <c r="CO11" i="17"/>
  <c r="AJ28" i="17" a="1"/>
  <c r="AN22" i="17" a="1"/>
  <c r="BE3" i="7"/>
  <c r="AQ5" i="7"/>
  <c r="AW5" i="7" s="1"/>
  <c r="AY5" i="7" s="1"/>
  <c r="AI21" i="7"/>
  <c r="AI23" i="7"/>
  <c r="AI25" i="7"/>
  <c r="AJ22" i="7"/>
  <c r="AJ24" i="7"/>
  <c r="AJ21" i="7"/>
  <c r="AJ23" i="7"/>
  <c r="AJ25" i="7"/>
  <c r="AI22" i="7"/>
  <c r="AI24" i="7"/>
  <c r="AP6" i="17"/>
  <c r="AP10" i="17"/>
  <c r="AP3" i="17"/>
  <c r="AP7" i="17"/>
  <c r="AP11" i="17"/>
  <c r="AP4" i="17"/>
  <c r="AP8" i="17"/>
  <c r="AP2" i="17"/>
  <c r="AP5" i="17"/>
  <c r="AP9" i="17"/>
  <c r="DP4" i="16"/>
  <c r="DR4" i="16" s="1"/>
  <c r="DP5" i="16"/>
  <c r="DR5" i="16" s="1"/>
  <c r="DP14" i="16"/>
  <c r="DR14" i="16" s="1"/>
  <c r="DP15" i="16"/>
  <c r="DR15" i="16" s="1"/>
  <c r="DP16" i="16"/>
  <c r="DR16" i="16" s="1"/>
  <c r="DP3" i="16"/>
  <c r="DR3" i="16" s="1"/>
  <c r="DN23" i="16" a="1"/>
  <c r="DN23" i="16" s="1"/>
  <c r="DP8" i="16" s="1"/>
  <c r="DR8" i="16" s="1"/>
  <c r="DC186" i="16"/>
  <c r="DB186" i="16"/>
  <c r="DA186" i="16"/>
  <c r="DC174" i="16"/>
  <c r="DB174" i="16"/>
  <c r="DA174" i="16"/>
  <c r="DC162" i="16"/>
  <c r="DB162" i="16"/>
  <c r="DA162" i="16"/>
  <c r="DC150" i="16"/>
  <c r="DB150" i="16"/>
  <c r="DA150" i="16"/>
  <c r="DC138" i="16"/>
  <c r="DB138" i="16"/>
  <c r="DA138" i="16"/>
  <c r="DC126" i="16"/>
  <c r="DB126" i="16"/>
  <c r="DA126" i="16"/>
  <c r="DC114" i="16"/>
  <c r="DB114" i="16"/>
  <c r="DA114" i="16"/>
  <c r="DC102" i="16"/>
  <c r="DB102" i="16"/>
  <c r="DA102" i="16"/>
  <c r="DC90" i="16"/>
  <c r="DB90" i="16"/>
  <c r="DA90" i="16"/>
  <c r="DC78" i="16"/>
  <c r="DB78" i="16"/>
  <c r="DA78" i="16"/>
  <c r="DC66" i="16"/>
  <c r="DB66" i="16"/>
  <c r="DA66" i="16"/>
  <c r="DC54" i="16"/>
  <c r="DB54" i="16"/>
  <c r="DA54" i="16"/>
  <c r="DC42" i="16"/>
  <c r="DB42" i="16"/>
  <c r="DA42" i="16"/>
  <c r="DC30" i="16"/>
  <c r="DB30" i="16"/>
  <c r="DA30" i="16"/>
  <c r="DC18" i="16"/>
  <c r="BW22" i="17" l="1"/>
  <c r="BZ26" i="17"/>
  <c r="BX23" i="17"/>
  <c r="BX22" i="17"/>
  <c r="BW24" i="17"/>
  <c r="BZ24" i="17"/>
  <c r="BZ23" i="17"/>
  <c r="BZ22" i="17"/>
  <c r="BY25" i="17"/>
  <c r="BY24" i="17"/>
  <c r="BY23" i="17"/>
  <c r="BY22" i="17"/>
  <c r="BX26" i="17"/>
  <c r="BX25" i="17"/>
  <c r="BW25" i="17"/>
  <c r="CD9" i="7"/>
  <c r="CD5" i="7"/>
  <c r="CD3" i="7"/>
  <c r="CD8" i="7"/>
  <c r="CD4" i="7"/>
  <c r="CD2" i="7"/>
  <c r="CD10" i="7"/>
  <c r="CD7" i="7"/>
  <c r="CD11" i="7"/>
  <c r="CD6" i="7"/>
  <c r="BY26" i="17"/>
  <c r="BZ25" i="17"/>
  <c r="BW23" i="17"/>
  <c r="BW26" i="17"/>
  <c r="BE4" i="7"/>
  <c r="AZ6" i="7"/>
  <c r="BV4" i="7" s="1"/>
  <c r="CQ12" i="17"/>
  <c r="CU10" i="17" s="1"/>
  <c r="CG12" i="17"/>
  <c r="CM12" i="17" s="1"/>
  <c r="AJ30" i="17"/>
  <c r="AL29" i="17"/>
  <c r="AK32" i="17"/>
  <c r="AJ31" i="17"/>
  <c r="AL28" i="17"/>
  <c r="AJ29" i="17"/>
  <c r="AJ32" i="17"/>
  <c r="AL30" i="17"/>
  <c r="AK29" i="17"/>
  <c r="AK28" i="17"/>
  <c r="AL31" i="17"/>
  <c r="AK30" i="17"/>
  <c r="AJ28" i="17"/>
  <c r="AL32" i="17"/>
  <c r="AK31" i="17"/>
  <c r="AQ22" i="17"/>
  <c r="AQ23" i="17"/>
  <c r="AQ24" i="17"/>
  <c r="AQ25" i="17"/>
  <c r="AQ26" i="17"/>
  <c r="AN22" i="17"/>
  <c r="AN23" i="17"/>
  <c r="AN24" i="17"/>
  <c r="AN25" i="17"/>
  <c r="AN26" i="17"/>
  <c r="AO22" i="17"/>
  <c r="AO23" i="17"/>
  <c r="AO24" i="17"/>
  <c r="AO25" i="17"/>
  <c r="AO26" i="17"/>
  <c r="AP22" i="17"/>
  <c r="AP23" i="17"/>
  <c r="AP24" i="17"/>
  <c r="AP25" i="17"/>
  <c r="AP26" i="17"/>
  <c r="AQ6" i="7"/>
  <c r="AW6" i="7" s="1"/>
  <c r="AY6" i="7" s="1"/>
  <c r="AZ7" i="7" s="1"/>
  <c r="BV5" i="7" s="1"/>
  <c r="DP11" i="16"/>
  <c r="DR11" i="16" s="1"/>
  <c r="DP7" i="16"/>
  <c r="DR7" i="16" s="1"/>
  <c r="DP10" i="16"/>
  <c r="DR10" i="16" s="1"/>
  <c r="DP6" i="16"/>
  <c r="DR6" i="16" s="1"/>
  <c r="DO26" i="16"/>
  <c r="DP17" i="16"/>
  <c r="DR17" i="16" s="1"/>
  <c r="DP13" i="16"/>
  <c r="DR13" i="16" s="1"/>
  <c r="DP9" i="16"/>
  <c r="DR9" i="16" s="1"/>
  <c r="DO24" i="16"/>
  <c r="DP12" i="16"/>
  <c r="DR12" i="16" s="1"/>
  <c r="DN26" i="16"/>
  <c r="DN24" i="16"/>
  <c r="DO27" i="16"/>
  <c r="DO25" i="16"/>
  <c r="DO23" i="16"/>
  <c r="DN27" i="16"/>
  <c r="DN25" i="16"/>
  <c r="FG2" i="16"/>
  <c r="FG3" i="16"/>
  <c r="FG4" i="16"/>
  <c r="FG19" i="16" s="1"/>
  <c r="FG5" i="16"/>
  <c r="FG6" i="16"/>
  <c r="FG7" i="16"/>
  <c r="FG8" i="16"/>
  <c r="FG9" i="16"/>
  <c r="FG10" i="16"/>
  <c r="FG11" i="16"/>
  <c r="FG12" i="16"/>
  <c r="FG13" i="16"/>
  <c r="FG14" i="16"/>
  <c r="FG15" i="16"/>
  <c r="FG16" i="16"/>
  <c r="FG17" i="16"/>
  <c r="FG18" i="16"/>
  <c r="GZ3" i="16"/>
  <c r="HA3" i="16"/>
  <c r="GZ4" i="16"/>
  <c r="HA4" i="16"/>
  <c r="GZ5" i="16"/>
  <c r="HA5" i="16"/>
  <c r="GZ6" i="16"/>
  <c r="HA6" i="16"/>
  <c r="GZ7" i="16"/>
  <c r="HA7" i="16"/>
  <c r="GZ8" i="16"/>
  <c r="HA8" i="16"/>
  <c r="GZ9" i="16"/>
  <c r="HA9" i="16"/>
  <c r="GZ10" i="16"/>
  <c r="HA10" i="16"/>
  <c r="GZ11" i="16"/>
  <c r="HA11" i="16"/>
  <c r="GZ12" i="16"/>
  <c r="HA12" i="16"/>
  <c r="GZ13" i="16"/>
  <c r="HA13" i="16"/>
  <c r="GZ14" i="16"/>
  <c r="HA14" i="16"/>
  <c r="GZ15" i="16"/>
  <c r="HA15" i="16"/>
  <c r="GZ16" i="16"/>
  <c r="HA16" i="16"/>
  <c r="GZ17" i="16"/>
  <c r="HA17" i="16"/>
  <c r="HA2" i="16"/>
  <c r="GZ2" i="16"/>
  <c r="CB39" i="14"/>
  <c r="CB40" i="14"/>
  <c r="CB41" i="14"/>
  <c r="CB42" i="14"/>
  <c r="CB43" i="14"/>
  <c r="CB44" i="14"/>
  <c r="CB45" i="14"/>
  <c r="CB46" i="14"/>
  <c r="CB47" i="14"/>
  <c r="CB48" i="14"/>
  <c r="CB38" i="14"/>
  <c r="BT48" i="14"/>
  <c r="BU48" i="14"/>
  <c r="BV48" i="14"/>
  <c r="BW48" i="14"/>
  <c r="BX48" i="14"/>
  <c r="BY48" i="14"/>
  <c r="BT42" i="14"/>
  <c r="BU42" i="14"/>
  <c r="BV42" i="14"/>
  <c r="BW42" i="14"/>
  <c r="BX42" i="14"/>
  <c r="BY42" i="14"/>
  <c r="BT43" i="14"/>
  <c r="BU43" i="14"/>
  <c r="BV43" i="14"/>
  <c r="BW43" i="14"/>
  <c r="BX43" i="14"/>
  <c r="BY43" i="14"/>
  <c r="BT44" i="14"/>
  <c r="BU44" i="14"/>
  <c r="BV44" i="14"/>
  <c r="BW44" i="14"/>
  <c r="BX44" i="14"/>
  <c r="BY44" i="14"/>
  <c r="BT45" i="14"/>
  <c r="BU45" i="14"/>
  <c r="BV45" i="14"/>
  <c r="BW45" i="14"/>
  <c r="BX45" i="14"/>
  <c r="BY45" i="14"/>
  <c r="BT46" i="14"/>
  <c r="BU46" i="14"/>
  <c r="BV46" i="14"/>
  <c r="BW46" i="14"/>
  <c r="BX46" i="14"/>
  <c r="BY46" i="14"/>
  <c r="BT47" i="14"/>
  <c r="BU47" i="14"/>
  <c r="BV47" i="14"/>
  <c r="BW47" i="14"/>
  <c r="BX47" i="14"/>
  <c r="BY47" i="14"/>
  <c r="BV41" i="14"/>
  <c r="BW41" i="14"/>
  <c r="BX41" i="14"/>
  <c r="BY41" i="14"/>
  <c r="BU41" i="14"/>
  <c r="BT41" i="14"/>
  <c r="BZ40" i="14"/>
  <c r="CC40" i="14" s="1"/>
  <c r="BZ39" i="14"/>
  <c r="CC39" i="14" s="1"/>
  <c r="BZ38" i="14"/>
  <c r="CC38" i="14" s="1"/>
  <c r="BY40" i="14"/>
  <c r="BY39" i="14"/>
  <c r="BY38" i="14"/>
  <c r="BX39" i="14"/>
  <c r="BX40" i="14"/>
  <c r="BX38" i="14"/>
  <c r="BV39" i="14"/>
  <c r="BV40" i="14"/>
  <c r="BV38" i="14"/>
  <c r="BU40" i="14"/>
  <c r="BU39" i="14"/>
  <c r="BU38" i="14"/>
  <c r="BZ30" i="14"/>
  <c r="BZ42" i="14" s="1"/>
  <c r="CC42" i="14" s="1"/>
  <c r="BZ31" i="14"/>
  <c r="BZ43" i="14" s="1"/>
  <c r="CC43" i="14" s="1"/>
  <c r="BZ32" i="14"/>
  <c r="BZ44" i="14" s="1"/>
  <c r="CC44" i="14" s="1"/>
  <c r="BZ33" i="14"/>
  <c r="BZ45" i="14" s="1"/>
  <c r="CC45" i="14" s="1"/>
  <c r="BZ34" i="14"/>
  <c r="BZ46" i="14" s="1"/>
  <c r="CC46" i="14" s="1"/>
  <c r="BZ35" i="14"/>
  <c r="BZ47" i="14" s="1"/>
  <c r="CC47" i="14" s="1"/>
  <c r="BZ36" i="14"/>
  <c r="BZ48" i="14" s="1"/>
  <c r="CC48" i="14" s="1"/>
  <c r="BZ29" i="14"/>
  <c r="BZ41" i="14" s="1"/>
  <c r="CC41" i="14" s="1"/>
  <c r="BY30" i="14"/>
  <c r="BY31" i="14"/>
  <c r="BY32" i="14"/>
  <c r="BY33" i="14"/>
  <c r="BY34" i="14"/>
  <c r="BY35" i="14"/>
  <c r="BY36" i="14"/>
  <c r="BY29" i="14"/>
  <c r="BX30" i="14"/>
  <c r="BX31" i="14"/>
  <c r="BX32" i="14"/>
  <c r="BX33" i="14"/>
  <c r="BX34" i="14"/>
  <c r="BX35" i="14"/>
  <c r="BX36" i="14"/>
  <c r="BX29" i="14"/>
  <c r="BU19" i="14"/>
  <c r="BU3" i="14"/>
  <c r="BU4" i="14"/>
  <c r="BU5" i="14"/>
  <c r="BU6" i="14"/>
  <c r="BU7" i="14"/>
  <c r="BU8" i="14"/>
  <c r="BU9" i="14"/>
  <c r="BU10" i="14"/>
  <c r="BU11" i="14"/>
  <c r="BU12" i="14"/>
  <c r="BU13" i="14"/>
  <c r="BU14" i="14"/>
  <c r="BU15" i="14"/>
  <c r="BU16" i="14"/>
  <c r="BU17" i="14"/>
  <c r="BU2" i="14"/>
  <c r="BT29" i="14"/>
  <c r="BU29" i="14"/>
  <c r="BV29" i="14"/>
  <c r="BW29" i="14"/>
  <c r="BT30" i="14"/>
  <c r="BU30" i="14"/>
  <c r="BV30" i="14"/>
  <c r="BW30" i="14"/>
  <c r="BT31" i="14"/>
  <c r="BU31" i="14"/>
  <c r="BV31" i="14"/>
  <c r="BW31" i="14"/>
  <c r="BT32" i="14"/>
  <c r="BU32" i="14"/>
  <c r="BV32" i="14"/>
  <c r="BW32" i="14"/>
  <c r="BT33" i="14"/>
  <c r="BU33" i="14"/>
  <c r="BV33" i="14"/>
  <c r="BW33" i="14"/>
  <c r="BT34" i="14"/>
  <c r="BU34" i="14"/>
  <c r="BV34" i="14"/>
  <c r="BW34" i="14"/>
  <c r="BT35" i="14"/>
  <c r="BU35" i="14"/>
  <c r="BV35" i="14"/>
  <c r="BW35" i="14"/>
  <c r="BT36" i="14"/>
  <c r="BU36" i="14"/>
  <c r="BV36" i="14"/>
  <c r="BW36" i="14"/>
  <c r="BU28" i="14"/>
  <c r="BV28" i="14"/>
  <c r="BW28" i="14"/>
  <c r="BT28" i="14"/>
  <c r="BY3" i="14"/>
  <c r="BY4" i="14"/>
  <c r="BY5" i="14"/>
  <c r="BY6" i="14"/>
  <c r="BZ6" i="14" s="1"/>
  <c r="BY7" i="14"/>
  <c r="BY8" i="14"/>
  <c r="BZ8" i="14" s="1"/>
  <c r="BY9" i="14"/>
  <c r="BZ9" i="14" s="1"/>
  <c r="BY10" i="14"/>
  <c r="BZ10" i="14" s="1"/>
  <c r="BY11" i="14"/>
  <c r="BY12" i="14"/>
  <c r="BY13" i="14"/>
  <c r="BY14" i="14"/>
  <c r="BZ14" i="14" s="1"/>
  <c r="BY15" i="14"/>
  <c r="BY16" i="14"/>
  <c r="BY2" i="14"/>
  <c r="BZ5" i="14"/>
  <c r="BZ16" i="14"/>
  <c r="BZ4" i="14"/>
  <c r="BZ12" i="14"/>
  <c r="BZ13" i="14"/>
  <c r="BZ3" i="14"/>
  <c r="BZ7" i="14"/>
  <c r="BZ11" i="14"/>
  <c r="BZ15" i="14"/>
  <c r="BZ2" i="14"/>
  <c r="BO31" i="14" a="1"/>
  <c r="BP31" i="14" s="1"/>
  <c r="BO31" i="14"/>
  <c r="BP32" i="14"/>
  <c r="BO33" i="14"/>
  <c r="BP34" i="14"/>
  <c r="BO35" i="14"/>
  <c r="BI30" i="14"/>
  <c r="BI31" i="14"/>
  <c r="BI32" i="14"/>
  <c r="BI33" i="14"/>
  <c r="BI34" i="14"/>
  <c r="BI35" i="14"/>
  <c r="BI36" i="14"/>
  <c r="BI29" i="14"/>
  <c r="BH29" i="14" a="1"/>
  <c r="BH29" i="14" s="1"/>
  <c r="AQ3" i="14"/>
  <c r="AQ4" i="14"/>
  <c r="AQ5" i="14"/>
  <c r="AQ2" i="14"/>
  <c r="F52" i="14"/>
  <c r="F51" i="14"/>
  <c r="F50" i="14"/>
  <c r="F49" i="14"/>
  <c r="E50" i="14"/>
  <c r="E51" i="14"/>
  <c r="E52" i="14"/>
  <c r="E49" i="14"/>
  <c r="D50" i="14"/>
  <c r="D51" i="14"/>
  <c r="D52" i="14"/>
  <c r="D49" i="14"/>
  <c r="C50" i="14"/>
  <c r="C51" i="14"/>
  <c r="C52" i="14"/>
  <c r="C49" i="14"/>
  <c r="AK2" i="14"/>
  <c r="AK3" i="14"/>
  <c r="AK4" i="14"/>
  <c r="AK5" i="14"/>
  <c r="AK6" i="14"/>
  <c r="AK7" i="14"/>
  <c r="AK8" i="14"/>
  <c r="AK9" i="14"/>
  <c r="AK10" i="14"/>
  <c r="AK11" i="14"/>
  <c r="AK12" i="14"/>
  <c r="AK13" i="14"/>
  <c r="AK14" i="14"/>
  <c r="AK15" i="14"/>
  <c r="AK16" i="14"/>
  <c r="P21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3" i="14"/>
  <c r="AI2" i="14"/>
  <c r="AJ2" i="14"/>
  <c r="AI3" i="14"/>
  <c r="AJ3" i="14"/>
  <c r="AI4" i="14"/>
  <c r="AJ4" i="14"/>
  <c r="AI5" i="14"/>
  <c r="AJ5" i="14"/>
  <c r="AI6" i="14"/>
  <c r="AJ6" i="14"/>
  <c r="AI7" i="14"/>
  <c r="AJ7" i="14"/>
  <c r="AI8" i="14"/>
  <c r="AJ8" i="14"/>
  <c r="AI9" i="14"/>
  <c r="AJ9" i="14"/>
  <c r="AI10" i="14"/>
  <c r="AJ10" i="14"/>
  <c r="AI11" i="14"/>
  <c r="AJ11" i="14"/>
  <c r="AI12" i="14"/>
  <c r="AJ12" i="14"/>
  <c r="AI13" i="14"/>
  <c r="AJ13" i="14"/>
  <c r="AI14" i="14"/>
  <c r="AJ14" i="14"/>
  <c r="AI15" i="14"/>
  <c r="AJ15" i="14"/>
  <c r="AI16" i="14"/>
  <c r="AJ16" i="14"/>
  <c r="AJ1" i="14"/>
  <c r="AI1" i="14"/>
  <c r="O18" i="14"/>
  <c r="O3" i="14"/>
  <c r="O9" i="14"/>
  <c r="O8" i="14"/>
  <c r="O7" i="14"/>
  <c r="O6" i="14"/>
  <c r="O5" i="14"/>
  <c r="O4" i="14"/>
  <c r="O21" i="14" s="1"/>
  <c r="C24" i="14"/>
  <c r="D24" i="14"/>
  <c r="B24" i="14"/>
  <c r="O11" i="14"/>
  <c r="O12" i="14"/>
  <c r="O13" i="14"/>
  <c r="O14" i="14"/>
  <c r="O15" i="14"/>
  <c r="O16" i="14"/>
  <c r="O17" i="14"/>
  <c r="O10" i="14"/>
  <c r="AD9" i="14" a="1"/>
  <c r="AD9" i="14"/>
  <c r="AD10" i="14"/>
  <c r="AD11" i="14"/>
  <c r="AD12" i="14"/>
  <c r="AD13" i="14"/>
  <c r="AD14" i="14"/>
  <c r="AD15" i="14"/>
  <c r="AD16" i="14"/>
  <c r="E25" i="14"/>
  <c r="DH71" i="1"/>
  <c r="DH72" i="1"/>
  <c r="DI72" i="1"/>
  <c r="DH75" i="1"/>
  <c r="DH76" i="1"/>
  <c r="DI76" i="1"/>
  <c r="DH79" i="1"/>
  <c r="DH80" i="1"/>
  <c r="DI80" i="1"/>
  <c r="DI68" i="1"/>
  <c r="EL3" i="1"/>
  <c r="EL4" i="1"/>
  <c r="EL5" i="1"/>
  <c r="EL6" i="1"/>
  <c r="EL7" i="1"/>
  <c r="EL8" i="1"/>
  <c r="EL9" i="1"/>
  <c r="EL10" i="1"/>
  <c r="EL11" i="1"/>
  <c r="EL12" i="1"/>
  <c r="EL13" i="1"/>
  <c r="EL14" i="1"/>
  <c r="EL15" i="1"/>
  <c r="EL16" i="1"/>
  <c r="EL17" i="1"/>
  <c r="EL2" i="1"/>
  <c r="EG3" i="1"/>
  <c r="EK3" i="1" s="1"/>
  <c r="EG4" i="1"/>
  <c r="EK4" i="1" s="1"/>
  <c r="EG5" i="1"/>
  <c r="EK5" i="1" s="1"/>
  <c r="EG6" i="1"/>
  <c r="EK6" i="1" s="1"/>
  <c r="EG7" i="1"/>
  <c r="EK7" i="1" s="1"/>
  <c r="EG8" i="1"/>
  <c r="EK8" i="1" s="1"/>
  <c r="EG9" i="1"/>
  <c r="EK9" i="1" s="1"/>
  <c r="EG10" i="1"/>
  <c r="EK10" i="1" s="1"/>
  <c r="EG11" i="1"/>
  <c r="EK11" i="1" s="1"/>
  <c r="EG12" i="1"/>
  <c r="EK12" i="1" s="1"/>
  <c r="EG13" i="1"/>
  <c r="EK13" i="1" s="1"/>
  <c r="EG14" i="1"/>
  <c r="EK14" i="1" s="1"/>
  <c r="EG15" i="1"/>
  <c r="EK15" i="1" s="1"/>
  <c r="EG16" i="1"/>
  <c r="EK16" i="1" s="1"/>
  <c r="EG17" i="1"/>
  <c r="EK17" i="1" s="1"/>
  <c r="EH2" i="1"/>
  <c r="EG2" i="1"/>
  <c r="EK2" i="1" s="1"/>
  <c r="DH48" i="1"/>
  <c r="DH68" i="1" s="1"/>
  <c r="DI48" i="1"/>
  <c r="DH49" i="1"/>
  <c r="DH69" i="1" s="1"/>
  <c r="DI49" i="1"/>
  <c r="DI69" i="1" s="1"/>
  <c r="DH50" i="1"/>
  <c r="DH70" i="1" s="1"/>
  <c r="DI50" i="1"/>
  <c r="DI70" i="1" s="1"/>
  <c r="DH51" i="1"/>
  <c r="DI51" i="1"/>
  <c r="DI71" i="1" s="1"/>
  <c r="DH52" i="1"/>
  <c r="DI52" i="1"/>
  <c r="DH53" i="1"/>
  <c r="DH73" i="1" s="1"/>
  <c r="DI53" i="1"/>
  <c r="DI73" i="1" s="1"/>
  <c r="DH54" i="1"/>
  <c r="DH74" i="1" s="1"/>
  <c r="DI54" i="1"/>
  <c r="DI74" i="1" s="1"/>
  <c r="DH55" i="1"/>
  <c r="DI55" i="1"/>
  <c r="DI75" i="1" s="1"/>
  <c r="DH56" i="1"/>
  <c r="DI56" i="1"/>
  <c r="DH57" i="1"/>
  <c r="DH77" i="1" s="1"/>
  <c r="DI57" i="1"/>
  <c r="DI77" i="1" s="1"/>
  <c r="DH58" i="1"/>
  <c r="DH78" i="1" s="1"/>
  <c r="DI58" i="1"/>
  <c r="DI78" i="1" s="1"/>
  <c r="DH59" i="1"/>
  <c r="DI59" i="1"/>
  <c r="DI79" i="1" s="1"/>
  <c r="DH60" i="1"/>
  <c r="DI60" i="1"/>
  <c r="DH61" i="1"/>
  <c r="DH81" i="1" s="1"/>
  <c r="DI61" i="1"/>
  <c r="DI81" i="1" s="1"/>
  <c r="DH62" i="1"/>
  <c r="DH82" i="1" s="1"/>
  <c r="DI62" i="1"/>
  <c r="DI82" i="1" s="1"/>
  <c r="DH47" i="1"/>
  <c r="DR27" i="1"/>
  <c r="DR36" i="1"/>
  <c r="DQ23" i="1"/>
  <c r="DF24" i="1"/>
  <c r="DQ24" i="1" s="1"/>
  <c r="DG24" i="1"/>
  <c r="DR24" i="1" s="1"/>
  <c r="DF25" i="1"/>
  <c r="DQ25" i="1" s="1"/>
  <c r="DG25" i="1"/>
  <c r="DR25" i="1" s="1"/>
  <c r="DF26" i="1"/>
  <c r="DQ26" i="1" s="1"/>
  <c r="DG26" i="1"/>
  <c r="DR26" i="1" s="1"/>
  <c r="DF27" i="1"/>
  <c r="DQ27" i="1" s="1"/>
  <c r="DG27" i="1"/>
  <c r="DF28" i="1"/>
  <c r="DQ28" i="1" s="1"/>
  <c r="DG28" i="1"/>
  <c r="DR28" i="1" s="1"/>
  <c r="DF29" i="1"/>
  <c r="DQ29" i="1" s="1"/>
  <c r="DG29" i="1"/>
  <c r="DR29" i="1" s="1"/>
  <c r="DF30" i="1"/>
  <c r="DQ30" i="1" s="1"/>
  <c r="DG30" i="1"/>
  <c r="DR30" i="1" s="1"/>
  <c r="DF31" i="1"/>
  <c r="DQ31" i="1" s="1"/>
  <c r="DG31" i="1"/>
  <c r="DR31" i="1" s="1"/>
  <c r="DF32" i="1"/>
  <c r="DQ32" i="1" s="1"/>
  <c r="DG32" i="1"/>
  <c r="DR32" i="1" s="1"/>
  <c r="DF33" i="1"/>
  <c r="DQ33" i="1" s="1"/>
  <c r="DG33" i="1"/>
  <c r="DR33" i="1" s="1"/>
  <c r="DF34" i="1"/>
  <c r="DQ34" i="1" s="1"/>
  <c r="DG34" i="1"/>
  <c r="DR34" i="1" s="1"/>
  <c r="DF35" i="1"/>
  <c r="DQ35" i="1" s="1"/>
  <c r="DG35" i="1"/>
  <c r="DR35" i="1" s="1"/>
  <c r="DF36" i="1"/>
  <c r="DQ36" i="1" s="1"/>
  <c r="DG36" i="1"/>
  <c r="DF37" i="1"/>
  <c r="DQ37" i="1" s="1"/>
  <c r="DG37" i="1"/>
  <c r="DR37" i="1" s="1"/>
  <c r="DF38" i="1"/>
  <c r="DQ38" i="1" s="1"/>
  <c r="DG38" i="1"/>
  <c r="DR38" i="1" s="1"/>
  <c r="CZ12" i="1"/>
  <c r="CZ24" i="1"/>
  <c r="CZ36" i="1"/>
  <c r="CZ48" i="1"/>
  <c r="CZ60" i="1"/>
  <c r="CZ72" i="1"/>
  <c r="CZ84" i="1"/>
  <c r="CZ96" i="1"/>
  <c r="CZ108" i="1"/>
  <c r="CZ120" i="1"/>
  <c r="CZ132" i="1"/>
  <c r="CZ144" i="1"/>
  <c r="CZ156" i="1"/>
  <c r="CZ168" i="1"/>
  <c r="CZ180" i="1"/>
  <c r="CZ192" i="1"/>
  <c r="CZ193" i="1"/>
  <c r="CY193" i="1"/>
  <c r="CX193" i="1"/>
  <c r="CY192" i="1"/>
  <c r="CX192" i="1"/>
  <c r="CW192" i="1"/>
  <c r="CZ181" i="1"/>
  <c r="CY181" i="1"/>
  <c r="CX181" i="1"/>
  <c r="CY180" i="1"/>
  <c r="CX180" i="1"/>
  <c r="CW180" i="1"/>
  <c r="CZ169" i="1"/>
  <c r="CY169" i="1"/>
  <c r="CX169" i="1"/>
  <c r="CY168" i="1"/>
  <c r="CX168" i="1"/>
  <c r="CW168" i="1"/>
  <c r="CZ157" i="1"/>
  <c r="CY157" i="1"/>
  <c r="CX157" i="1"/>
  <c r="CY156" i="1"/>
  <c r="CX156" i="1"/>
  <c r="CW156" i="1"/>
  <c r="CZ145" i="1"/>
  <c r="CY145" i="1"/>
  <c r="CX145" i="1"/>
  <c r="CY144" i="1"/>
  <c r="CX144" i="1"/>
  <c r="CW144" i="1"/>
  <c r="CZ133" i="1"/>
  <c r="CY133" i="1"/>
  <c r="CX133" i="1"/>
  <c r="CY132" i="1"/>
  <c r="CX132" i="1"/>
  <c r="CW132" i="1"/>
  <c r="CZ121" i="1"/>
  <c r="CY121" i="1"/>
  <c r="CX121" i="1"/>
  <c r="CY120" i="1"/>
  <c r="CX120" i="1"/>
  <c r="CW120" i="1"/>
  <c r="CZ109" i="1"/>
  <c r="CY109" i="1"/>
  <c r="CX109" i="1"/>
  <c r="CY108" i="1"/>
  <c r="CX108" i="1"/>
  <c r="CW108" i="1"/>
  <c r="CZ97" i="1"/>
  <c r="CY97" i="1"/>
  <c r="CX97" i="1"/>
  <c r="CY96" i="1"/>
  <c r="CX96" i="1"/>
  <c r="CW96" i="1"/>
  <c r="CZ85" i="1"/>
  <c r="CY85" i="1"/>
  <c r="CX85" i="1"/>
  <c r="CY84" i="1"/>
  <c r="CX84" i="1"/>
  <c r="CW84" i="1"/>
  <c r="CZ73" i="1"/>
  <c r="CY73" i="1"/>
  <c r="CX73" i="1"/>
  <c r="CY72" i="1"/>
  <c r="CX72" i="1"/>
  <c r="CW72" i="1"/>
  <c r="CZ61" i="1"/>
  <c r="CY61" i="1"/>
  <c r="CX61" i="1"/>
  <c r="CY60" i="1"/>
  <c r="CX60" i="1"/>
  <c r="CW60" i="1"/>
  <c r="CZ49" i="1"/>
  <c r="CY49" i="1"/>
  <c r="CX49" i="1"/>
  <c r="CY48" i="1"/>
  <c r="CX48" i="1"/>
  <c r="CW48" i="1"/>
  <c r="CZ37" i="1"/>
  <c r="CY37" i="1"/>
  <c r="CX37" i="1"/>
  <c r="CY36" i="1"/>
  <c r="CX36" i="1"/>
  <c r="CW36" i="1"/>
  <c r="CX25" i="1"/>
  <c r="CX24" i="1"/>
  <c r="CW24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3" i="1"/>
  <c r="ED4" i="1"/>
  <c r="ED5" i="1"/>
  <c r="ED6" i="1"/>
  <c r="ED7" i="1"/>
  <c r="ED8" i="1"/>
  <c r="ED9" i="1"/>
  <c r="ED10" i="1"/>
  <c r="ED11" i="1"/>
  <c r="EC12" i="1"/>
  <c r="ED12" i="1"/>
  <c r="DX4" i="1"/>
  <c r="EC4" i="1" s="1"/>
  <c r="DX5" i="1"/>
  <c r="EC5" i="1" s="1"/>
  <c r="DX6" i="1"/>
  <c r="EC6" i="1" s="1"/>
  <c r="DX7" i="1"/>
  <c r="EC7" i="1" s="1"/>
  <c r="DX8" i="1"/>
  <c r="EC8" i="1" s="1"/>
  <c r="DX9" i="1"/>
  <c r="EC9" i="1" s="1"/>
  <c r="DX10" i="1"/>
  <c r="EC10" i="1" s="1"/>
  <c r="DX11" i="1"/>
  <c r="EC11" i="1" s="1"/>
  <c r="DX12" i="1"/>
  <c r="ED3" i="1"/>
  <c r="DX3" i="1"/>
  <c r="EC3" i="1" s="1"/>
  <c r="DQ8" i="1"/>
  <c r="DR8" i="1" s="1"/>
  <c r="DQ9" i="1"/>
  <c r="DR9" i="1" s="1"/>
  <c r="DQ10" i="1"/>
  <c r="DR10" i="1" s="1"/>
  <c r="DQ11" i="1"/>
  <c r="DR11" i="1" s="1"/>
  <c r="DQ12" i="1"/>
  <c r="DR12" i="1" s="1"/>
  <c r="DQ13" i="1"/>
  <c r="DR13" i="1" s="1"/>
  <c r="DQ14" i="1"/>
  <c r="DR14" i="1" s="1"/>
  <c r="DQ7" i="1"/>
  <c r="DR7" i="1"/>
  <c r="DQ6" i="1"/>
  <c r="DR6" i="1" s="1"/>
  <c r="DQ5" i="1"/>
  <c r="DR5" i="1" s="1"/>
  <c r="CY25" i="1"/>
  <c r="CZ25" i="1"/>
  <c r="DQ4" i="1"/>
  <c r="DR4" i="1" s="1"/>
  <c r="DO14" i="1"/>
  <c r="DP14" i="1" s="1"/>
  <c r="CL4" i="1"/>
  <c r="DO5" i="1" s="1"/>
  <c r="DP5" i="1" s="1"/>
  <c r="CL5" i="1"/>
  <c r="DO6" i="1" s="1"/>
  <c r="DP6" i="1" s="1"/>
  <c r="CL6" i="1"/>
  <c r="DO7" i="1" s="1"/>
  <c r="DP7" i="1" s="1"/>
  <c r="CL7" i="1"/>
  <c r="DO8" i="1" s="1"/>
  <c r="DP8" i="1" s="1"/>
  <c r="CL8" i="1"/>
  <c r="DO9" i="1" s="1"/>
  <c r="DP9" i="1" s="1"/>
  <c r="CL9" i="1"/>
  <c r="DO10" i="1" s="1"/>
  <c r="DP10" i="1" s="1"/>
  <c r="CL10" i="1"/>
  <c r="DO11" i="1" s="1"/>
  <c r="DP11" i="1" s="1"/>
  <c r="CL11" i="1"/>
  <c r="DO12" i="1" s="1"/>
  <c r="DP12" i="1" s="1"/>
  <c r="CL12" i="1"/>
  <c r="DO13" i="1" s="1"/>
  <c r="DP13" i="1" s="1"/>
  <c r="CL13" i="1"/>
  <c r="CL14" i="1"/>
  <c r="CL15" i="1"/>
  <c r="CL16" i="1"/>
  <c r="CL17" i="1"/>
  <c r="CL18" i="1"/>
  <c r="CL19" i="1"/>
  <c r="CL3" i="1"/>
  <c r="DO4" i="1" s="1"/>
  <c r="DP4" i="1" s="1"/>
  <c r="CK21" i="1"/>
  <c r="BZ5" i="7" l="1"/>
  <c r="CQ5" i="7" s="1"/>
  <c r="DY5" i="7"/>
  <c r="BZ4" i="7"/>
  <c r="CQ4" i="7" s="1"/>
  <c r="DY4" i="7"/>
  <c r="EF10" i="17"/>
  <c r="CO12" i="17"/>
  <c r="CP12" i="17"/>
  <c r="AQ4" i="17"/>
  <c r="AQ9" i="17"/>
  <c r="AQ3" i="17"/>
  <c r="AQ8" i="17"/>
  <c r="AQ6" i="17"/>
  <c r="AQ7" i="17"/>
  <c r="AQ2" i="17"/>
  <c r="AQ10" i="17"/>
  <c r="AQ11" i="17"/>
  <c r="AQ5" i="17"/>
  <c r="AR5" i="17"/>
  <c r="AR9" i="17"/>
  <c r="AR6" i="17"/>
  <c r="AR10" i="17"/>
  <c r="AR3" i="17"/>
  <c r="AR7" i="17"/>
  <c r="AR11" i="17"/>
  <c r="AR4" i="17"/>
  <c r="AR8" i="17"/>
  <c r="AR2" i="17"/>
  <c r="BE5" i="7"/>
  <c r="AQ7" i="7"/>
  <c r="AW7" i="7" s="1"/>
  <c r="AY7" i="7" s="1"/>
  <c r="DA25" i="1"/>
  <c r="DU3" i="1" s="1"/>
  <c r="BO34" i="14"/>
  <c r="BO32" i="14"/>
  <c r="BP35" i="14"/>
  <c r="BP33" i="14"/>
  <c r="BH36" i="14"/>
  <c r="BH32" i="14"/>
  <c r="BH35" i="14"/>
  <c r="BH34" i="14"/>
  <c r="BH30" i="14"/>
  <c r="BH31" i="14"/>
  <c r="BH33" i="14"/>
  <c r="A32" i="14" a="1"/>
  <c r="B33" i="14" s="1"/>
  <c r="B35" i="14"/>
  <c r="E35" i="14" s="1"/>
  <c r="F35" i="14" s="1"/>
  <c r="AM9" i="14" s="1"/>
  <c r="AQ9" i="14" s="1"/>
  <c r="B37" i="14"/>
  <c r="B39" i="14"/>
  <c r="B43" i="14"/>
  <c r="A32" i="14"/>
  <c r="A34" i="14"/>
  <c r="A38" i="14"/>
  <c r="A40" i="14"/>
  <c r="A42" i="14"/>
  <c r="B34" i="14"/>
  <c r="E34" i="14" s="1"/>
  <c r="F34" i="14" s="1"/>
  <c r="AM8" i="14" s="1"/>
  <c r="AQ8" i="14" s="1"/>
  <c r="B36" i="14"/>
  <c r="B38" i="14"/>
  <c r="E38" i="14" s="1"/>
  <c r="F38" i="14" s="1"/>
  <c r="AM12" i="14" s="1"/>
  <c r="AQ12" i="14" s="1"/>
  <c r="B42" i="14"/>
  <c r="E42" i="14" s="1"/>
  <c r="F42" i="14" s="1"/>
  <c r="AM16" i="14" s="1"/>
  <c r="AQ16" i="14" s="1"/>
  <c r="A33" i="14"/>
  <c r="A35" i="14"/>
  <c r="A39" i="14"/>
  <c r="A41" i="14"/>
  <c r="A43" i="14"/>
  <c r="D37" i="14"/>
  <c r="D41" i="14"/>
  <c r="D38" i="14"/>
  <c r="D42" i="14"/>
  <c r="D35" i="14"/>
  <c r="D39" i="14"/>
  <c r="D32" i="14"/>
  <c r="D36" i="14"/>
  <c r="D40" i="14"/>
  <c r="D33" i="14"/>
  <c r="D34" i="14"/>
  <c r="DS9" i="1"/>
  <c r="DS6" i="1"/>
  <c r="CM21" i="1"/>
  <c r="EA10" i="1" s="1"/>
  <c r="CL21" i="1"/>
  <c r="DS7" i="1" s="1"/>
  <c r="DA37" i="1"/>
  <c r="DU4" i="1" s="1"/>
  <c r="DA61" i="1"/>
  <c r="DU6" i="1" s="1"/>
  <c r="DA85" i="1"/>
  <c r="DU8" i="1" s="1"/>
  <c r="DA109" i="1"/>
  <c r="DU10" i="1" s="1"/>
  <c r="DA133" i="1"/>
  <c r="DU12" i="1" s="1"/>
  <c r="DA157" i="1"/>
  <c r="DU14" i="1" s="1"/>
  <c r="DA181" i="1"/>
  <c r="DA49" i="1"/>
  <c r="DU5" i="1" s="1"/>
  <c r="DA73" i="1"/>
  <c r="DU7" i="1" s="1"/>
  <c r="DA97" i="1"/>
  <c r="DU9" i="1" s="1"/>
  <c r="DA121" i="1"/>
  <c r="DU11" i="1" s="1"/>
  <c r="DA145" i="1"/>
  <c r="DU13" i="1" s="1"/>
  <c r="DA169" i="1"/>
  <c r="DA193" i="1"/>
  <c r="CY12" i="1"/>
  <c r="CX12" i="1"/>
  <c r="CW12" i="1"/>
  <c r="CV12" i="1"/>
  <c r="DB11" i="1"/>
  <c r="DB3" i="1"/>
  <c r="DJ1" i="1"/>
  <c r="DI1" i="1"/>
  <c r="DH1" i="1"/>
  <c r="DC2" i="1"/>
  <c r="DD2" i="1"/>
  <c r="DE2" i="1"/>
  <c r="DC3" i="1"/>
  <c r="DD3" i="1"/>
  <c r="DE3" i="1"/>
  <c r="DC4" i="1"/>
  <c r="DD4" i="1"/>
  <c r="DE4" i="1"/>
  <c r="DC5" i="1"/>
  <c r="DD5" i="1"/>
  <c r="DE5" i="1"/>
  <c r="DC6" i="1"/>
  <c r="DD6" i="1"/>
  <c r="DE6" i="1"/>
  <c r="DC7" i="1"/>
  <c r="DD7" i="1"/>
  <c r="DE7" i="1"/>
  <c r="DC8" i="1"/>
  <c r="DD8" i="1"/>
  <c r="DE8" i="1"/>
  <c r="DC9" i="1"/>
  <c r="DD9" i="1"/>
  <c r="DE9" i="1"/>
  <c r="DC10" i="1"/>
  <c r="DD10" i="1"/>
  <c r="DE10" i="1"/>
  <c r="DC11" i="1"/>
  <c r="DD11" i="1"/>
  <c r="DE11" i="1"/>
  <c r="DC12" i="1"/>
  <c r="DD12" i="1"/>
  <c r="DE12" i="1"/>
  <c r="DC13" i="1"/>
  <c r="DD13" i="1"/>
  <c r="DE13" i="1"/>
  <c r="DC14" i="1"/>
  <c r="DD14" i="1"/>
  <c r="DE14" i="1"/>
  <c r="DC15" i="1"/>
  <c r="DD15" i="1"/>
  <c r="DE15" i="1"/>
  <c r="DC16" i="1"/>
  <c r="DD16" i="1"/>
  <c r="DE16" i="1"/>
  <c r="DB16" i="1"/>
  <c r="DB15" i="1"/>
  <c r="DB14" i="1"/>
  <c r="DB13" i="1"/>
  <c r="DH13" i="1" s="1"/>
  <c r="DB12" i="1"/>
  <c r="DB10" i="1"/>
  <c r="DB9" i="1"/>
  <c r="DB8" i="1"/>
  <c r="DB7" i="1"/>
  <c r="DB6" i="1"/>
  <c r="DB5" i="1"/>
  <c r="DB4" i="1"/>
  <c r="DH4" i="1" s="1"/>
  <c r="DZ5" i="1" s="1"/>
  <c r="DB2" i="1"/>
  <c r="CV192" i="1"/>
  <c r="CV180" i="1"/>
  <c r="CV168" i="1"/>
  <c r="CV156" i="1"/>
  <c r="CV144" i="1"/>
  <c r="CV132" i="1"/>
  <c r="CV120" i="1"/>
  <c r="CV108" i="1"/>
  <c r="CV96" i="1"/>
  <c r="CV84" i="1"/>
  <c r="CV72" i="1"/>
  <c r="CV60" i="1"/>
  <c r="CV48" i="1"/>
  <c r="CV36" i="1"/>
  <c r="CY24" i="1"/>
  <c r="CV24" i="1"/>
  <c r="AQ8" i="7" l="1"/>
  <c r="AW8" i="7" s="1"/>
  <c r="AY8" i="7" s="1"/>
  <c r="AZ9" i="7" s="1"/>
  <c r="BV7" i="7" s="1"/>
  <c r="AZ8" i="7"/>
  <c r="BV6" i="7" s="1"/>
  <c r="CQ13" i="17"/>
  <c r="CU11" i="17" s="1"/>
  <c r="CG13" i="17"/>
  <c r="CM13" i="17" s="1"/>
  <c r="BE6" i="7"/>
  <c r="DI6" i="1"/>
  <c r="A37" i="14"/>
  <c r="B40" i="14"/>
  <c r="B32" i="14"/>
  <c r="E32" i="14" s="1"/>
  <c r="F32" i="14" s="1"/>
  <c r="AM6" i="14" s="1"/>
  <c r="A36" i="14"/>
  <c r="B41" i="14"/>
  <c r="E40" i="14"/>
  <c r="F40" i="14" s="1"/>
  <c r="AM14" i="14" s="1"/>
  <c r="AQ14" i="14" s="1"/>
  <c r="E41" i="14"/>
  <c r="F41" i="14" s="1"/>
  <c r="AM15" i="14" s="1"/>
  <c r="AQ15" i="14" s="1"/>
  <c r="E33" i="14"/>
  <c r="F33" i="14" s="1"/>
  <c r="AM7" i="14" s="1"/>
  <c r="AQ7" i="14" s="1"/>
  <c r="E39" i="14"/>
  <c r="F39" i="14" s="1"/>
  <c r="AM13" i="14" s="1"/>
  <c r="AQ13" i="14" s="1"/>
  <c r="E36" i="14"/>
  <c r="F36" i="14" s="1"/>
  <c r="AM10" i="14" s="1"/>
  <c r="AQ10" i="14" s="1"/>
  <c r="E37" i="14"/>
  <c r="F37" i="14" s="1"/>
  <c r="AM11" i="14" s="1"/>
  <c r="AQ11" i="14" s="1"/>
  <c r="DI8" i="1"/>
  <c r="EA6" i="1"/>
  <c r="EA9" i="1"/>
  <c r="DI10" i="1"/>
  <c r="DS13" i="1"/>
  <c r="DH5" i="1"/>
  <c r="DZ6" i="1" s="1"/>
  <c r="EH6" i="1"/>
  <c r="DH27" i="1"/>
  <c r="DH9" i="1"/>
  <c r="DZ10" i="1" s="1"/>
  <c r="EH10" i="1"/>
  <c r="DH31" i="1"/>
  <c r="EH15" i="1"/>
  <c r="DH36" i="1"/>
  <c r="DJ13" i="1"/>
  <c r="DJ9" i="1"/>
  <c r="DJ5" i="1"/>
  <c r="DI3" i="1"/>
  <c r="DI15" i="1"/>
  <c r="DH6" i="1"/>
  <c r="DZ7" i="1" s="1"/>
  <c r="EH7" i="1"/>
  <c r="DH28" i="1"/>
  <c r="DH10" i="1"/>
  <c r="DZ11" i="1" s="1"/>
  <c r="EH11" i="1"/>
  <c r="DH32" i="1"/>
  <c r="DH37" i="1"/>
  <c r="EH16" i="1"/>
  <c r="DJ14" i="1"/>
  <c r="DI12" i="1"/>
  <c r="DJ10" i="1"/>
  <c r="DJ6" i="1"/>
  <c r="DI4" i="1"/>
  <c r="DJ2" i="1"/>
  <c r="DH15" i="1"/>
  <c r="DI11" i="1"/>
  <c r="DI7" i="1"/>
  <c r="DH3" i="1"/>
  <c r="DZ4" i="1" s="1"/>
  <c r="DH25" i="1"/>
  <c r="EH4" i="1"/>
  <c r="EH3" i="1"/>
  <c r="DH24" i="1"/>
  <c r="DC18" i="1" a="1"/>
  <c r="DH7" i="1"/>
  <c r="DZ8" i="1" s="1"/>
  <c r="DH29" i="1"/>
  <c r="EH8" i="1"/>
  <c r="DH12" i="1"/>
  <c r="EH13" i="1"/>
  <c r="DH34" i="1"/>
  <c r="DH16" i="1"/>
  <c r="EH17" i="1"/>
  <c r="DH38" i="1"/>
  <c r="DJ15" i="1"/>
  <c r="DJ11" i="1"/>
  <c r="DJ7" i="1"/>
  <c r="DJ3" i="1"/>
  <c r="DH14" i="1"/>
  <c r="DH11" i="1"/>
  <c r="DZ12" i="1" s="1"/>
  <c r="DH33" i="1"/>
  <c r="EH12" i="1"/>
  <c r="DS8" i="1"/>
  <c r="DS12" i="1"/>
  <c r="DS5" i="1"/>
  <c r="DS4" i="1"/>
  <c r="DS11" i="1"/>
  <c r="DS10" i="1"/>
  <c r="EH5" i="1"/>
  <c r="DH26" i="1"/>
  <c r="DH8" i="1"/>
  <c r="DZ9" i="1" s="1"/>
  <c r="EH9" i="1"/>
  <c r="DH30" i="1"/>
  <c r="EH14" i="1"/>
  <c r="DH35" i="1"/>
  <c r="DJ16" i="1"/>
  <c r="DI14" i="1"/>
  <c r="DJ12" i="1"/>
  <c r="DJ8" i="1"/>
  <c r="DJ4" i="1"/>
  <c r="DI2" i="1"/>
  <c r="DI16" i="1"/>
  <c r="DI13" i="1"/>
  <c r="DI9" i="1"/>
  <c r="DI5" i="1"/>
  <c r="EA7" i="1"/>
  <c r="EA11" i="1"/>
  <c r="EA3" i="1"/>
  <c r="EA8" i="1"/>
  <c r="EA4" i="1"/>
  <c r="EA12" i="1"/>
  <c r="EA5" i="1"/>
  <c r="DS14" i="1"/>
  <c r="DH2" i="1"/>
  <c r="DN4" i="1"/>
  <c r="I305" i="1"/>
  <c r="I293" i="1"/>
  <c r="I110" i="1" s="1"/>
  <c r="I281" i="1"/>
  <c r="I109" i="1" s="1"/>
  <c r="I269" i="1"/>
  <c r="I108" i="1" s="1"/>
  <c r="I257" i="1"/>
  <c r="I107" i="1" s="1"/>
  <c r="I245" i="1"/>
  <c r="I106" i="1" s="1"/>
  <c r="I233" i="1"/>
  <c r="I105" i="1" s="1"/>
  <c r="I221" i="1"/>
  <c r="I104" i="1" s="1"/>
  <c r="I209" i="1"/>
  <c r="I103" i="1" s="1"/>
  <c r="I197" i="1"/>
  <c r="I102" i="1" s="1"/>
  <c r="I185" i="1"/>
  <c r="I101" i="1" s="1"/>
  <c r="I173" i="1"/>
  <c r="I161" i="1"/>
  <c r="I99" i="1" s="1"/>
  <c r="I149" i="1"/>
  <c r="I98" i="1" s="1"/>
  <c r="I137" i="1"/>
  <c r="I97" i="1" s="1"/>
  <c r="F305" i="1"/>
  <c r="F293" i="1"/>
  <c r="F281" i="1"/>
  <c r="F269" i="1"/>
  <c r="F257" i="1"/>
  <c r="F245" i="1"/>
  <c r="F233" i="1"/>
  <c r="F221" i="1"/>
  <c r="F209" i="1"/>
  <c r="F197" i="1"/>
  <c r="F185" i="1"/>
  <c r="F173" i="1"/>
  <c r="F161" i="1"/>
  <c r="F149" i="1"/>
  <c r="F137" i="1"/>
  <c r="F125" i="1"/>
  <c r="N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96" i="1"/>
  <c r="I111" i="1"/>
  <c r="J305" i="1"/>
  <c r="K111" i="1" s="1"/>
  <c r="H305" i="1"/>
  <c r="H111" i="1" s="1"/>
  <c r="G305" i="1"/>
  <c r="E111" i="1" s="1"/>
  <c r="J293" i="1"/>
  <c r="K110" i="1" s="1"/>
  <c r="H293" i="1"/>
  <c r="H110" i="1" s="1"/>
  <c r="G293" i="1"/>
  <c r="E110" i="1" s="1"/>
  <c r="J281" i="1"/>
  <c r="K109" i="1" s="1"/>
  <c r="H281" i="1"/>
  <c r="H109" i="1" s="1"/>
  <c r="G281" i="1"/>
  <c r="E109" i="1" s="1"/>
  <c r="J269" i="1"/>
  <c r="K108" i="1" s="1"/>
  <c r="H269" i="1"/>
  <c r="H108" i="1" s="1"/>
  <c r="G269" i="1"/>
  <c r="E108" i="1" s="1"/>
  <c r="J257" i="1"/>
  <c r="K107" i="1" s="1"/>
  <c r="H257" i="1"/>
  <c r="H107" i="1" s="1"/>
  <c r="G257" i="1"/>
  <c r="E107" i="1" s="1"/>
  <c r="J245" i="1"/>
  <c r="K106" i="1" s="1"/>
  <c r="H245" i="1"/>
  <c r="H106" i="1" s="1"/>
  <c r="G245" i="1"/>
  <c r="E106" i="1" s="1"/>
  <c r="J233" i="1"/>
  <c r="K105" i="1" s="1"/>
  <c r="H233" i="1"/>
  <c r="H105" i="1" s="1"/>
  <c r="G233" i="1"/>
  <c r="E105" i="1" s="1"/>
  <c r="J221" i="1"/>
  <c r="K104" i="1" s="1"/>
  <c r="H221" i="1"/>
  <c r="H104" i="1" s="1"/>
  <c r="G221" i="1"/>
  <c r="E104" i="1" s="1"/>
  <c r="J209" i="1"/>
  <c r="K103" i="1" s="1"/>
  <c r="H209" i="1"/>
  <c r="H103" i="1" s="1"/>
  <c r="G209" i="1"/>
  <c r="E103" i="1" s="1"/>
  <c r="J197" i="1"/>
  <c r="K102" i="1" s="1"/>
  <c r="H197" i="1"/>
  <c r="H102" i="1" s="1"/>
  <c r="G197" i="1"/>
  <c r="E102" i="1" s="1"/>
  <c r="J185" i="1"/>
  <c r="K101" i="1" s="1"/>
  <c r="H185" i="1"/>
  <c r="H101" i="1" s="1"/>
  <c r="G185" i="1"/>
  <c r="E101" i="1" s="1"/>
  <c r="J173" i="1"/>
  <c r="K100" i="1" s="1"/>
  <c r="I100" i="1"/>
  <c r="H173" i="1"/>
  <c r="H100" i="1" s="1"/>
  <c r="G173" i="1"/>
  <c r="E100" i="1" s="1"/>
  <c r="J161" i="1"/>
  <c r="K99" i="1" s="1"/>
  <c r="H161" i="1"/>
  <c r="H99" i="1" s="1"/>
  <c r="G161" i="1"/>
  <c r="E99" i="1" s="1"/>
  <c r="J149" i="1"/>
  <c r="K98" i="1" s="1"/>
  <c r="H149" i="1"/>
  <c r="H98" i="1" s="1"/>
  <c r="G149" i="1"/>
  <c r="E98" i="1" s="1"/>
  <c r="H137" i="1"/>
  <c r="H97" i="1" s="1"/>
  <c r="J137" i="1"/>
  <c r="K97" i="1" s="1"/>
  <c r="G137" i="1"/>
  <c r="E97" i="1" s="1"/>
  <c r="I125" i="1"/>
  <c r="J125" i="1"/>
  <c r="A83" i="1" a="1"/>
  <c r="A84" i="1" s="1"/>
  <c r="A83" i="1"/>
  <c r="F81" i="1"/>
  <c r="G81" i="1"/>
  <c r="H81" i="1"/>
  <c r="I81" i="1"/>
  <c r="J81" i="1"/>
  <c r="K81" i="1"/>
  <c r="L81" i="1"/>
  <c r="M81" i="1"/>
  <c r="N81" i="1"/>
  <c r="O81" i="1"/>
  <c r="E81" i="1"/>
  <c r="BZ7" i="7" l="1"/>
  <c r="CQ7" i="7" s="1"/>
  <c r="DY7" i="7"/>
  <c r="BZ6" i="7"/>
  <c r="CQ6" i="7" s="1"/>
  <c r="DY6" i="7"/>
  <c r="DE19" i="17" a="1"/>
  <c r="DH19" i="17" s="1"/>
  <c r="EF11" i="17"/>
  <c r="BE7" i="7"/>
  <c r="AQ9" i="7"/>
  <c r="AW9" i="7" s="1"/>
  <c r="AY9" i="7" s="1"/>
  <c r="AZ10" i="7" s="1"/>
  <c r="BV8" i="7" s="1"/>
  <c r="CY19" i="17" a="1"/>
  <c r="CT19" i="17" a="1"/>
  <c r="CT25" i="17" a="1"/>
  <c r="CO13" i="17"/>
  <c r="CP13" i="17"/>
  <c r="DK39" i="1" a="1"/>
  <c r="EH19" i="1" a="1"/>
  <c r="AQ10" i="7"/>
  <c r="AW10" i="7" s="1"/>
  <c r="AY10" i="7" s="1"/>
  <c r="AZ11" i="7" s="1"/>
  <c r="BV9" i="7" s="1"/>
  <c r="AI18" i="14" a="1"/>
  <c r="AQ6" i="14"/>
  <c r="DD18" i="1"/>
  <c r="DD20" i="1"/>
  <c r="DD22" i="1"/>
  <c r="DC19" i="1"/>
  <c r="DC21" i="1"/>
  <c r="DC18" i="1"/>
  <c r="DC22" i="1"/>
  <c r="DD19" i="1"/>
  <c r="DC20" i="1"/>
  <c r="DD21" i="1"/>
  <c r="DH18" i="1" a="1"/>
  <c r="DG40" i="1" a="1"/>
  <c r="DY3" i="1"/>
  <c r="DT4" i="1"/>
  <c r="DV4" i="1" s="1"/>
  <c r="DN5" i="1" s="1"/>
  <c r="DZ3" i="1"/>
  <c r="A91" i="1"/>
  <c r="A87" i="1"/>
  <c r="A90" i="1"/>
  <c r="A86" i="1"/>
  <c r="A93" i="1"/>
  <c r="A89" i="1"/>
  <c r="A85" i="1"/>
  <c r="B83" i="1" a="1"/>
  <c r="B83" i="1" s="1"/>
  <c r="A92" i="1"/>
  <c r="A88" i="1"/>
  <c r="DF21" i="17" l="1"/>
  <c r="DI19" i="17"/>
  <c r="DE21" i="17"/>
  <c r="DF23" i="17"/>
  <c r="DE19" i="17"/>
  <c r="DE22" i="17"/>
  <c r="BZ9" i="7"/>
  <c r="CQ9" i="7" s="1"/>
  <c r="DY9" i="7"/>
  <c r="BZ8" i="7"/>
  <c r="CQ8" i="7" s="1"/>
  <c r="DY8" i="7"/>
  <c r="CG14" i="17"/>
  <c r="CM14" i="17" s="1"/>
  <c r="CQ14" i="17"/>
  <c r="CU12" i="17" s="1"/>
  <c r="DF20" i="17"/>
  <c r="DI23" i="17"/>
  <c r="DH22" i="17"/>
  <c r="DG22" i="17"/>
  <c r="DH20" i="17"/>
  <c r="DI20" i="17"/>
  <c r="DF19" i="17"/>
  <c r="DE20" i="17"/>
  <c r="DH23" i="17"/>
  <c r="DI22" i="17"/>
  <c r="DI21" i="17"/>
  <c r="DG20" i="17"/>
  <c r="DG21" i="17"/>
  <c r="DG19" i="17"/>
  <c r="DG23" i="17"/>
  <c r="DF22" i="17"/>
  <c r="DE23" i="17"/>
  <c r="DH21" i="17"/>
  <c r="BE8" i="7"/>
  <c r="CZ19" i="17"/>
  <c r="CY20" i="17"/>
  <c r="CY22" i="17"/>
  <c r="DB20" i="17"/>
  <c r="DB22" i="17"/>
  <c r="CY19" i="17"/>
  <c r="CY21" i="17"/>
  <c r="CY23" i="17"/>
  <c r="DB19" i="17"/>
  <c r="DB21" i="17"/>
  <c r="DB23" i="17"/>
  <c r="DA23" i="17"/>
  <c r="DA19" i="17"/>
  <c r="CZ20" i="17"/>
  <c r="DA22" i="17"/>
  <c r="CZ23" i="17"/>
  <c r="DA21" i="17"/>
  <c r="CZ22" i="17"/>
  <c r="DA20" i="17"/>
  <c r="CZ21" i="17"/>
  <c r="CT26" i="17"/>
  <c r="CU27" i="17"/>
  <c r="CV28" i="17"/>
  <c r="CT25" i="17"/>
  <c r="CU26" i="17"/>
  <c r="CV27" i="17"/>
  <c r="CT29" i="17"/>
  <c r="CU25" i="17"/>
  <c r="CV26" i="17"/>
  <c r="CT28" i="17"/>
  <c r="CU29" i="17"/>
  <c r="CV25" i="17"/>
  <c r="CT27" i="17"/>
  <c r="CU28" i="17"/>
  <c r="CV29" i="17"/>
  <c r="CU20" i="17"/>
  <c r="CU22" i="17"/>
  <c r="CT19" i="17"/>
  <c r="CT21" i="17"/>
  <c r="CT23" i="17"/>
  <c r="CU19" i="17"/>
  <c r="CU21" i="17"/>
  <c r="CU23" i="17"/>
  <c r="CT20" i="17"/>
  <c r="CT22" i="17"/>
  <c r="DL39" i="1"/>
  <c r="DK39" i="1"/>
  <c r="DK44" i="1"/>
  <c r="DL41" i="1"/>
  <c r="DL44" i="1"/>
  <c r="DK40" i="1"/>
  <c r="DK43" i="1"/>
  <c r="DL42" i="1"/>
  <c r="DK42" i="1"/>
  <c r="DK41" i="1"/>
  <c r="DL40" i="1"/>
  <c r="DL43" i="1"/>
  <c r="EJ22" i="1"/>
  <c r="EJ21" i="1"/>
  <c r="EH22" i="1"/>
  <c r="EI22" i="1"/>
  <c r="EI21" i="1"/>
  <c r="EH23" i="1"/>
  <c r="EI23" i="1"/>
  <c r="EJ23" i="1"/>
  <c r="EI19" i="1"/>
  <c r="EJ19" i="1"/>
  <c r="EH19" i="1"/>
  <c r="EI20" i="1"/>
  <c r="EJ20" i="1"/>
  <c r="EH21" i="1"/>
  <c r="EH20" i="1"/>
  <c r="AQ11" i="7"/>
  <c r="AW11" i="7" s="1"/>
  <c r="AY11" i="7" s="1"/>
  <c r="AZ12" i="7" s="1"/>
  <c r="BV10" i="7" s="1"/>
  <c r="BE9" i="7"/>
  <c r="AL18" i="14" a="1"/>
  <c r="AP18" i="14" a="1"/>
  <c r="AJ18" i="14"/>
  <c r="AJ19" i="14"/>
  <c r="AI20" i="14"/>
  <c r="AJ21" i="14"/>
  <c r="AI18" i="14"/>
  <c r="AI22" i="14"/>
  <c r="AI21" i="14"/>
  <c r="AI19" i="14"/>
  <c r="AJ22" i="14"/>
  <c r="AJ20" i="14"/>
  <c r="DH18" i="1"/>
  <c r="DJ22" i="1"/>
  <c r="DJ21" i="1"/>
  <c r="DH21" i="1"/>
  <c r="DJ20" i="1"/>
  <c r="DI21" i="1"/>
  <c r="DI20" i="1"/>
  <c r="DJ19" i="1"/>
  <c r="DI19" i="1"/>
  <c r="DH20" i="1"/>
  <c r="DH19" i="1"/>
  <c r="DI18" i="1"/>
  <c r="DJ18" i="1"/>
  <c r="DI22" i="1"/>
  <c r="DH22" i="1"/>
  <c r="DJ49" i="1"/>
  <c r="DJ53" i="1"/>
  <c r="DJ57" i="1"/>
  <c r="DJ61" i="1"/>
  <c r="DJ50" i="1"/>
  <c r="DJ54" i="1"/>
  <c r="DJ58" i="1"/>
  <c r="DJ62" i="1"/>
  <c r="DJ56" i="1"/>
  <c r="DJ51" i="1"/>
  <c r="DJ59" i="1"/>
  <c r="DJ52" i="1"/>
  <c r="DJ60" i="1"/>
  <c r="DJ55" i="1"/>
  <c r="DJ48" i="1"/>
  <c r="DG40" i="1"/>
  <c r="DH41" i="1"/>
  <c r="DH44" i="1"/>
  <c r="DG43" i="1"/>
  <c r="DH43" i="1"/>
  <c r="DG41" i="1"/>
  <c r="DH42" i="1"/>
  <c r="DH40" i="1"/>
  <c r="DG44" i="1"/>
  <c r="DG42" i="1"/>
  <c r="DY4" i="1"/>
  <c r="DT5" i="1"/>
  <c r="DV5" i="1" s="1"/>
  <c r="DN6" i="1" s="1"/>
  <c r="B84" i="1"/>
  <c r="B90" i="1"/>
  <c r="B89" i="1"/>
  <c r="B85" i="1"/>
  <c r="B91" i="1"/>
  <c r="B86" i="1"/>
  <c r="B92" i="1"/>
  <c r="B87" i="1"/>
  <c r="B93" i="1"/>
  <c r="B88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29" i="1"/>
  <c r="DD11" i="17" l="1"/>
  <c r="DD6" i="17"/>
  <c r="DD7" i="17"/>
  <c r="DD5" i="17"/>
  <c r="DD4" i="17"/>
  <c r="BZ10" i="7"/>
  <c r="CQ10" i="7" s="1"/>
  <c r="DY10" i="7"/>
  <c r="CO14" i="17"/>
  <c r="CP14" i="17"/>
  <c r="DD9" i="17"/>
  <c r="DD8" i="17"/>
  <c r="DD10" i="17"/>
  <c r="DD2" i="17"/>
  <c r="DD3" i="17"/>
  <c r="EF12" i="17"/>
  <c r="DA3" i="17"/>
  <c r="DA7" i="17"/>
  <c r="DA11" i="17"/>
  <c r="DA4" i="17"/>
  <c r="DA8" i="17"/>
  <c r="DA2" i="17"/>
  <c r="DA5" i="17"/>
  <c r="DA9" i="17"/>
  <c r="DA6" i="17"/>
  <c r="DA10" i="17"/>
  <c r="DC4" i="17"/>
  <c r="DC8" i="17"/>
  <c r="DC2" i="17"/>
  <c r="DC5" i="17"/>
  <c r="DC9" i="17"/>
  <c r="DC6" i="17"/>
  <c r="DC10" i="17"/>
  <c r="DC3" i="17"/>
  <c r="DC7" i="17"/>
  <c r="DC11" i="17"/>
  <c r="DB5" i="17"/>
  <c r="DB9" i="17"/>
  <c r="DB6" i="17"/>
  <c r="DB10" i="17"/>
  <c r="DB3" i="17"/>
  <c r="DB7" i="17"/>
  <c r="DB11" i="17"/>
  <c r="DB4" i="17"/>
  <c r="DB8" i="17"/>
  <c r="DB2" i="17"/>
  <c r="EM6" i="1"/>
  <c r="EM10" i="1"/>
  <c r="EM14" i="1"/>
  <c r="EM3" i="1"/>
  <c r="EM7" i="1"/>
  <c r="EM11" i="1"/>
  <c r="EM15" i="1"/>
  <c r="EM4" i="1"/>
  <c r="EM8" i="1"/>
  <c r="EM12" i="1"/>
  <c r="EM16" i="1"/>
  <c r="EM5" i="1"/>
  <c r="EM9" i="1"/>
  <c r="EM13" i="1"/>
  <c r="EM17" i="1"/>
  <c r="DJ68" i="1"/>
  <c r="DJ72" i="1"/>
  <c r="DJ76" i="1"/>
  <c r="DJ80" i="1"/>
  <c r="DJ71" i="1"/>
  <c r="DJ75" i="1"/>
  <c r="DJ79" i="1"/>
  <c r="DJ70" i="1"/>
  <c r="DJ74" i="1"/>
  <c r="DJ78" i="1"/>
  <c r="DJ82" i="1"/>
  <c r="DJ69" i="1"/>
  <c r="DJ73" i="1"/>
  <c r="DJ77" i="1"/>
  <c r="DJ81" i="1"/>
  <c r="AQ12" i="7"/>
  <c r="AW12" i="7" s="1"/>
  <c r="AY12" i="7" s="1"/>
  <c r="AZ13" i="7" s="1"/>
  <c r="BV11" i="7" s="1"/>
  <c r="DY11" i="7" s="1"/>
  <c r="BE10" i="7"/>
  <c r="AN4" i="14"/>
  <c r="AN8" i="14"/>
  <c r="AN12" i="14"/>
  <c r="AN16" i="14"/>
  <c r="AN5" i="14"/>
  <c r="AN9" i="14"/>
  <c r="AN13" i="14"/>
  <c r="AN2" i="14"/>
  <c r="AN6" i="14"/>
  <c r="AN10" i="14"/>
  <c r="AN14" i="14"/>
  <c r="AN3" i="14"/>
  <c r="AN7" i="14"/>
  <c r="AN11" i="14"/>
  <c r="AN15" i="14"/>
  <c r="AQ18" i="14"/>
  <c r="AQ20" i="14"/>
  <c r="AQ22" i="14"/>
  <c r="AP19" i="14"/>
  <c r="AP21" i="14"/>
  <c r="AQ19" i="14"/>
  <c r="AQ21" i="14"/>
  <c r="AP18" i="14"/>
  <c r="AP20" i="14"/>
  <c r="AP22" i="14"/>
  <c r="AM18" i="14"/>
  <c r="AM19" i="14"/>
  <c r="AL19" i="14"/>
  <c r="AN18" i="14"/>
  <c r="AL18" i="14"/>
  <c r="AN22" i="14"/>
  <c r="AM22" i="14"/>
  <c r="AL22" i="14"/>
  <c r="AN21" i="14"/>
  <c r="AM21" i="14"/>
  <c r="AL21" i="14"/>
  <c r="AN20" i="14"/>
  <c r="AM20" i="14"/>
  <c r="AL20" i="14"/>
  <c r="AN19" i="14"/>
  <c r="DS26" i="1"/>
  <c r="DS28" i="1"/>
  <c r="DS30" i="1"/>
  <c r="DS32" i="1"/>
  <c r="DS34" i="1"/>
  <c r="DS36" i="1"/>
  <c r="DS38" i="1"/>
  <c r="DS24" i="1"/>
  <c r="DS27" i="1"/>
  <c r="DS37" i="1"/>
  <c r="DS25" i="1"/>
  <c r="DS31" i="1"/>
  <c r="DS29" i="1"/>
  <c r="DS35" i="1"/>
  <c r="DS33" i="1"/>
  <c r="DY5" i="1"/>
  <c r="DT6" i="1"/>
  <c r="DV6" i="1" s="1"/>
  <c r="DN7" i="1" s="1"/>
  <c r="H84" i="1" a="1"/>
  <c r="I86" i="1" s="1"/>
  <c r="F25" i="14"/>
  <c r="G25" i="14"/>
  <c r="H25" i="14"/>
  <c r="I25" i="14"/>
  <c r="J25" i="14"/>
  <c r="K25" i="14"/>
  <c r="L25" i="14"/>
  <c r="M25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BL27" i="14"/>
  <c r="BM27" i="14"/>
  <c r="BN27" i="14"/>
  <c r="BO27" i="14"/>
  <c r="BP27" i="14"/>
  <c r="BQ27" i="14"/>
  <c r="BR27" i="14"/>
  <c r="BS27" i="14"/>
  <c r="BK27" i="14"/>
  <c r="CG15" i="17" l="1"/>
  <c r="CM15" i="17" s="1"/>
  <c r="CQ15" i="17"/>
  <c r="CU13" i="17" s="1"/>
  <c r="BV19" i="7" a="1"/>
  <c r="BX20" i="7" s="1"/>
  <c r="BZ11" i="7"/>
  <c r="CQ11" i="7" s="1"/>
  <c r="BE11" i="7"/>
  <c r="AQ13" i="7"/>
  <c r="AW13" i="7" s="1"/>
  <c r="AY13" i="7" s="1"/>
  <c r="DY6" i="1"/>
  <c r="DT7" i="1"/>
  <c r="DV7" i="1" s="1"/>
  <c r="DN8" i="1" s="1"/>
  <c r="I84" i="1"/>
  <c r="H85" i="1"/>
  <c r="H86" i="1"/>
  <c r="I85" i="1"/>
  <c r="H84" i="1"/>
  <c r="I87" i="1"/>
  <c r="I88" i="1"/>
  <c r="H88" i="1"/>
  <c r="H87" i="1"/>
  <c r="CP22" i="12"/>
  <c r="CQ22" i="12"/>
  <c r="CO22" i="12"/>
  <c r="DI25" i="12"/>
  <c r="DJ25" i="12"/>
  <c r="DH25" i="12"/>
  <c r="DL26" i="12"/>
  <c r="DM26" i="12"/>
  <c r="DN26" i="12"/>
  <c r="DO26" i="12"/>
  <c r="DP26" i="12"/>
  <c r="DQ26" i="12"/>
  <c r="DR26" i="12"/>
  <c r="DS26" i="12"/>
  <c r="DK26" i="12"/>
  <c r="AZ14" i="7" l="1"/>
  <c r="BV12" i="7" s="1"/>
  <c r="AQ14" i="7"/>
  <c r="AW14" i="7" s="1"/>
  <c r="AY14" i="7" s="1"/>
  <c r="CP15" i="17"/>
  <c r="CO15" i="17"/>
  <c r="EF13" i="17"/>
  <c r="BZ24" i="7" a="1"/>
  <c r="CC26" i="7" s="1"/>
  <c r="CF24" i="7" a="1"/>
  <c r="BW22" i="7"/>
  <c r="BW19" i="7"/>
  <c r="BV21" i="7"/>
  <c r="BY22" i="7"/>
  <c r="BY19" i="7"/>
  <c r="BX21" i="7"/>
  <c r="BW23" i="7"/>
  <c r="BW20" i="7"/>
  <c r="BV22" i="7"/>
  <c r="BY23" i="7"/>
  <c r="BY20" i="7"/>
  <c r="BX22" i="7"/>
  <c r="BX19" i="7"/>
  <c r="BW21" i="7"/>
  <c r="BV19" i="7"/>
  <c r="BV23" i="7"/>
  <c r="BV20" i="7"/>
  <c r="BY21" i="7"/>
  <c r="BX23" i="7"/>
  <c r="CN24" i="12" a="1"/>
  <c r="CO34" i="12" s="1"/>
  <c r="CS34" i="12" s="1"/>
  <c r="BD19" i="7" a="1"/>
  <c r="BD20" i="7" s="1"/>
  <c r="BG20" i="7" a="1"/>
  <c r="CN30" i="12"/>
  <c r="CN28" i="12"/>
  <c r="CN32" i="12"/>
  <c r="DI29" i="12" a="1"/>
  <c r="DY7" i="1"/>
  <c r="DT8" i="1"/>
  <c r="DV8" i="1" s="1"/>
  <c r="DN9" i="1" s="1"/>
  <c r="FX3" i="16"/>
  <c r="GQ3" i="16" s="1"/>
  <c r="FQ30" i="16"/>
  <c r="FR30" i="16"/>
  <c r="FQ42" i="16"/>
  <c r="FR42" i="16"/>
  <c r="FX5" i="16" s="1"/>
  <c r="GQ5" i="16" s="1"/>
  <c r="FQ54" i="16"/>
  <c r="FR54" i="16"/>
  <c r="FQ66" i="16"/>
  <c r="FR66" i="16"/>
  <c r="FX7" i="16" s="1"/>
  <c r="GQ7" i="16" s="1"/>
  <c r="FQ78" i="16"/>
  <c r="FR78" i="16"/>
  <c r="FQ90" i="16"/>
  <c r="FR90" i="16"/>
  <c r="FX9" i="16" s="1"/>
  <c r="GQ9" i="16" s="1"/>
  <c r="FQ102" i="16"/>
  <c r="FR102" i="16"/>
  <c r="FX10" i="16" s="1"/>
  <c r="GQ10" i="16" s="1"/>
  <c r="FQ114" i="16"/>
  <c r="FR114" i="16"/>
  <c r="FX11" i="16" s="1"/>
  <c r="GQ11" i="16" s="1"/>
  <c r="FQ126" i="16"/>
  <c r="FR126" i="16"/>
  <c r="FQ138" i="16"/>
  <c r="FR138" i="16"/>
  <c r="FX13" i="16" s="1"/>
  <c r="GQ13" i="16" s="1"/>
  <c r="FQ150" i="16"/>
  <c r="FR150" i="16"/>
  <c r="FX14" i="16" s="1"/>
  <c r="GQ14" i="16" s="1"/>
  <c r="FQ162" i="16"/>
  <c r="FR162" i="16"/>
  <c r="FQ174" i="16"/>
  <c r="FR174" i="16"/>
  <c r="FX16" i="16" s="1"/>
  <c r="GQ16" i="16" s="1"/>
  <c r="GV2" i="16"/>
  <c r="GS3" i="16"/>
  <c r="GS4" i="16"/>
  <c r="GS5" i="16"/>
  <c r="GS6" i="16"/>
  <c r="GS7" i="16"/>
  <c r="GS8" i="16"/>
  <c r="GS9" i="16"/>
  <c r="GS10" i="16"/>
  <c r="GS11" i="16"/>
  <c r="GS12" i="16"/>
  <c r="GS13" i="16"/>
  <c r="GS14" i="16"/>
  <c r="GS15" i="16"/>
  <c r="GS16" i="16"/>
  <c r="GS17" i="16"/>
  <c r="GS2" i="16"/>
  <c r="GR2" i="16"/>
  <c r="GQ2" i="16"/>
  <c r="GP2" i="16"/>
  <c r="GO2" i="16"/>
  <c r="GN2" i="16"/>
  <c r="GM2" i="16"/>
  <c r="GU2" i="16" s="1"/>
  <c r="FX15" i="16"/>
  <c r="GQ15" i="16" s="1"/>
  <c r="FX12" i="16"/>
  <c r="GQ12" i="16" s="1"/>
  <c r="FX8" i="16"/>
  <c r="GQ8" i="16" s="1"/>
  <c r="FX6" i="16"/>
  <c r="GQ6" i="16" s="1"/>
  <c r="FX4" i="16"/>
  <c r="GQ4" i="16" s="1"/>
  <c r="FR186" i="16"/>
  <c r="FX17" i="16" s="1"/>
  <c r="GQ17" i="16" s="1"/>
  <c r="AQ15" i="7" l="1"/>
  <c r="AW15" i="7" s="1"/>
  <c r="AY15" i="7" s="1"/>
  <c r="AZ15" i="7"/>
  <c r="BV13" i="7" s="1"/>
  <c r="DY12" i="7"/>
  <c r="BZ12" i="7"/>
  <c r="CQ12" i="7" s="1"/>
  <c r="CQ16" i="17"/>
  <c r="CU14" i="17" s="1"/>
  <c r="EF14" i="17" s="1"/>
  <c r="CG16" i="17"/>
  <c r="CM16" i="17" s="1"/>
  <c r="BZ24" i="7"/>
  <c r="CB26" i="7"/>
  <c r="CC25" i="7"/>
  <c r="CA27" i="7"/>
  <c r="BZ28" i="7"/>
  <c r="CB25" i="7"/>
  <c r="CA26" i="7"/>
  <c r="BZ27" i="7"/>
  <c r="CC28" i="7"/>
  <c r="CC24" i="7"/>
  <c r="CB28" i="7"/>
  <c r="CB24" i="7"/>
  <c r="CA25" i="7"/>
  <c r="BZ26" i="7"/>
  <c r="CC27" i="7"/>
  <c r="CF24" i="7"/>
  <c r="CJ27" i="7"/>
  <c r="CI24" i="7"/>
  <c r="CF26" i="7"/>
  <c r="CH27" i="7"/>
  <c r="CG24" i="7"/>
  <c r="CH26" i="7"/>
  <c r="CF27" i="7"/>
  <c r="CH28" i="7"/>
  <c r="CG25" i="7"/>
  <c r="CI26" i="7"/>
  <c r="CJ28" i="7"/>
  <c r="CI25" i="7"/>
  <c r="CG26" i="7"/>
  <c r="CI27" i="7"/>
  <c r="CH24" i="7"/>
  <c r="CJ25" i="7"/>
  <c r="CF28" i="7"/>
  <c r="CJ24" i="7"/>
  <c r="CI28" i="7"/>
  <c r="CH25" i="7"/>
  <c r="CJ26" i="7"/>
  <c r="CG28" i="7"/>
  <c r="CF25" i="7"/>
  <c r="CG27" i="7"/>
  <c r="CB27" i="7"/>
  <c r="CA28" i="7"/>
  <c r="CA24" i="7"/>
  <c r="BZ25" i="7"/>
  <c r="CO19" i="7" a="1"/>
  <c r="CN33" i="12"/>
  <c r="CN31" i="12"/>
  <c r="CN27" i="12"/>
  <c r="CO31" i="12"/>
  <c r="CS31" i="12" s="1"/>
  <c r="CF13" i="12" s="1"/>
  <c r="CG13" i="12" s="1"/>
  <c r="CJ29" i="12" s="1"/>
  <c r="CO24" i="12"/>
  <c r="CS24" i="12" s="1"/>
  <c r="CF6" i="12" s="1"/>
  <c r="CG6" i="12" s="1"/>
  <c r="CJ22" i="12" s="1"/>
  <c r="CO29" i="12"/>
  <c r="CS29" i="12" s="1"/>
  <c r="CF11" i="12" s="1"/>
  <c r="CG11" i="12" s="1"/>
  <c r="CJ27" i="12" s="1"/>
  <c r="CO30" i="12"/>
  <c r="CS30" i="12" s="1"/>
  <c r="CF12" i="12" s="1"/>
  <c r="CG12" i="12" s="1"/>
  <c r="CJ28" i="12" s="1"/>
  <c r="CO27" i="12"/>
  <c r="CS27" i="12" s="1"/>
  <c r="CF9" i="12" s="1"/>
  <c r="CG9" i="12" s="1"/>
  <c r="CO28" i="12"/>
  <c r="CS28" i="12" s="1"/>
  <c r="CF10" i="12" s="1"/>
  <c r="CG10" i="12" s="1"/>
  <c r="CN26" i="12"/>
  <c r="CO25" i="12"/>
  <c r="CS25" i="12" s="1"/>
  <c r="CF7" i="12" s="1"/>
  <c r="CG7" i="12" s="1"/>
  <c r="CJ23" i="12" s="1"/>
  <c r="CO32" i="12"/>
  <c r="CS32" i="12" s="1"/>
  <c r="CF14" i="12" s="1"/>
  <c r="CG14" i="12" s="1"/>
  <c r="CJ30" i="12" s="1"/>
  <c r="CO26" i="12"/>
  <c r="CS26" i="12" s="1"/>
  <c r="CF8" i="12" s="1"/>
  <c r="CG8" i="12" s="1"/>
  <c r="CJ24" i="12" s="1"/>
  <c r="CN24" i="12"/>
  <c r="CN25" i="12"/>
  <c r="CN34" i="12"/>
  <c r="CO33" i="12"/>
  <c r="CS33" i="12" s="1"/>
  <c r="CF15" i="12" s="1"/>
  <c r="CG15" i="12" s="1"/>
  <c r="CJ31" i="12" s="1"/>
  <c r="CN29" i="12"/>
  <c r="CJ26" i="12"/>
  <c r="CK78" i="12"/>
  <c r="CJ25" i="12"/>
  <c r="CK77" i="12"/>
  <c r="BE22" i="7"/>
  <c r="BE23" i="7"/>
  <c r="BD23" i="7"/>
  <c r="BE20" i="7"/>
  <c r="BE21" i="7"/>
  <c r="BD21" i="7"/>
  <c r="BD22" i="7"/>
  <c r="BE19" i="7"/>
  <c r="BD19" i="7"/>
  <c r="BH20" i="7"/>
  <c r="BH21" i="7"/>
  <c r="BG24" i="7"/>
  <c r="BH22" i="7"/>
  <c r="BG20" i="7"/>
  <c r="BI22" i="7"/>
  <c r="BG21" i="7"/>
  <c r="BI23" i="7"/>
  <c r="BG22" i="7"/>
  <c r="BI21" i="7"/>
  <c r="BI20" i="7"/>
  <c r="BI24" i="7"/>
  <c r="BH24" i="7"/>
  <c r="BH23" i="7"/>
  <c r="BG23" i="7"/>
  <c r="DI30" i="12"/>
  <c r="DM30" i="12" s="1"/>
  <c r="EM8" i="12" s="1"/>
  <c r="EN8" i="12" s="1"/>
  <c r="EP8" i="12" s="1"/>
  <c r="DI34" i="12"/>
  <c r="DM34" i="12" s="1"/>
  <c r="EM12" i="12" s="1"/>
  <c r="EN12" i="12" s="1"/>
  <c r="EP12" i="12" s="1"/>
  <c r="DI38" i="12"/>
  <c r="DM38" i="12" s="1"/>
  <c r="EM16" i="12" s="1"/>
  <c r="EN16" i="12" s="1"/>
  <c r="EP16" i="12" s="1"/>
  <c r="DI33" i="12"/>
  <c r="DM33" i="12" s="1"/>
  <c r="EM11" i="12" s="1"/>
  <c r="EN11" i="12" s="1"/>
  <c r="EP11" i="12" s="1"/>
  <c r="DI39" i="12"/>
  <c r="DM39" i="12" s="1"/>
  <c r="DI29" i="12"/>
  <c r="DM29" i="12" s="1"/>
  <c r="EM7" i="12" s="1"/>
  <c r="EN7" i="12" s="1"/>
  <c r="EP7" i="12" s="1"/>
  <c r="DI35" i="12"/>
  <c r="DM35" i="12" s="1"/>
  <c r="EM13" i="12" s="1"/>
  <c r="EN13" i="12" s="1"/>
  <c r="EP13" i="12" s="1"/>
  <c r="DI31" i="12"/>
  <c r="DM31" i="12" s="1"/>
  <c r="EM9" i="12" s="1"/>
  <c r="EN9" i="12" s="1"/>
  <c r="EP9" i="12" s="1"/>
  <c r="DI36" i="12"/>
  <c r="DM36" i="12" s="1"/>
  <c r="EM14" i="12" s="1"/>
  <c r="EN14" i="12" s="1"/>
  <c r="EP14" i="12" s="1"/>
  <c r="DI32" i="12"/>
  <c r="DM32" i="12" s="1"/>
  <c r="EM10" i="12" s="1"/>
  <c r="EN10" i="12" s="1"/>
  <c r="EP10" i="12" s="1"/>
  <c r="DI37" i="12"/>
  <c r="DM37" i="12" s="1"/>
  <c r="EM15" i="12" s="1"/>
  <c r="EN15" i="12" s="1"/>
  <c r="EP15" i="12" s="1"/>
  <c r="DY8" i="1"/>
  <c r="DT9" i="1"/>
  <c r="DV9" i="1" s="1"/>
  <c r="DN10" i="1" s="1"/>
  <c r="BI23" i="14"/>
  <c r="BJ23" i="14"/>
  <c r="BK23" i="14"/>
  <c r="BL23" i="14"/>
  <c r="BM23" i="14"/>
  <c r="BN23" i="14"/>
  <c r="BO23" i="14"/>
  <c r="BP23" i="14"/>
  <c r="BQ23" i="14"/>
  <c r="BR23" i="14"/>
  <c r="BS23" i="14"/>
  <c r="BH23" i="14"/>
  <c r="Y3" i="14"/>
  <c r="Z3" i="14"/>
  <c r="Z5" i="14"/>
  <c r="Y7" i="14"/>
  <c r="Z7" i="14"/>
  <c r="Z9" i="14"/>
  <c r="Y11" i="14"/>
  <c r="Z11" i="14"/>
  <c r="Z13" i="14"/>
  <c r="Y15" i="14"/>
  <c r="Z15" i="14"/>
  <c r="X15" i="14"/>
  <c r="X13" i="14"/>
  <c r="X11" i="14"/>
  <c r="X9" i="14"/>
  <c r="X7" i="14"/>
  <c r="X5" i="14"/>
  <c r="X3" i="14"/>
  <c r="V192" i="14"/>
  <c r="Z16" i="14" s="1"/>
  <c r="U192" i="14"/>
  <c r="Y16" i="14" s="1"/>
  <c r="T192" i="14"/>
  <c r="X16" i="14" s="1"/>
  <c r="V180" i="14"/>
  <c r="U180" i="14"/>
  <c r="T180" i="14"/>
  <c r="V168" i="14"/>
  <c r="Z14" i="14" s="1"/>
  <c r="U168" i="14"/>
  <c r="Y14" i="14" s="1"/>
  <c r="T168" i="14"/>
  <c r="X14" i="14" s="1"/>
  <c r="V156" i="14"/>
  <c r="U156" i="14"/>
  <c r="Y13" i="14" s="1"/>
  <c r="T156" i="14"/>
  <c r="V144" i="14"/>
  <c r="Z12" i="14" s="1"/>
  <c r="U144" i="14"/>
  <c r="Y12" i="14" s="1"/>
  <c r="T144" i="14"/>
  <c r="X12" i="14" s="1"/>
  <c r="V132" i="14"/>
  <c r="U132" i="14"/>
  <c r="T132" i="14"/>
  <c r="V120" i="14"/>
  <c r="Z10" i="14" s="1"/>
  <c r="U120" i="14"/>
  <c r="Y10" i="14" s="1"/>
  <c r="T120" i="14"/>
  <c r="X10" i="14" s="1"/>
  <c r="V108" i="14"/>
  <c r="U108" i="14"/>
  <c r="Y9" i="14" s="1"/>
  <c r="T108" i="14"/>
  <c r="V96" i="14"/>
  <c r="Z8" i="14" s="1"/>
  <c r="U96" i="14"/>
  <c r="Y8" i="14" s="1"/>
  <c r="T96" i="14"/>
  <c r="X8" i="14" s="1"/>
  <c r="V84" i="14"/>
  <c r="U84" i="14"/>
  <c r="T84" i="14"/>
  <c r="V72" i="14"/>
  <c r="Z6" i="14" s="1"/>
  <c r="U72" i="14"/>
  <c r="Y6" i="14" s="1"/>
  <c r="T72" i="14"/>
  <c r="X6" i="14" s="1"/>
  <c r="V60" i="14"/>
  <c r="U60" i="14"/>
  <c r="Y5" i="14" s="1"/>
  <c r="T60" i="14"/>
  <c r="V48" i="14"/>
  <c r="Z4" i="14" s="1"/>
  <c r="U48" i="14"/>
  <c r="Y4" i="14" s="1"/>
  <c r="T48" i="14"/>
  <c r="X4" i="14" s="1"/>
  <c r="V36" i="14"/>
  <c r="U36" i="14"/>
  <c r="T36" i="14"/>
  <c r="V24" i="14"/>
  <c r="Z2" i="14" s="1"/>
  <c r="U24" i="14"/>
  <c r="Y2" i="14" s="1"/>
  <c r="T24" i="14"/>
  <c r="X2" i="14" s="1"/>
  <c r="V12" i="14"/>
  <c r="U12" i="14"/>
  <c r="T12" i="14"/>
  <c r="GK3" i="16"/>
  <c r="GK4" i="16"/>
  <c r="GK5" i="16"/>
  <c r="GK6" i="16"/>
  <c r="GK7" i="16"/>
  <c r="GK8" i="16"/>
  <c r="GK9" i="16"/>
  <c r="GK10" i="16"/>
  <c r="GK11" i="16"/>
  <c r="GK12" i="16"/>
  <c r="GK13" i="16"/>
  <c r="GK14" i="16"/>
  <c r="GK15" i="16"/>
  <c r="GK16" i="16"/>
  <c r="GK17" i="16"/>
  <c r="GK2" i="16"/>
  <c r="GJ2" i="16"/>
  <c r="GI2" i="16"/>
  <c r="GG2" i="16"/>
  <c r="GH2" i="16"/>
  <c r="GF2" i="16"/>
  <c r="DY13" i="7" l="1"/>
  <c r="BZ13" i="7"/>
  <c r="CQ13" i="7" s="1"/>
  <c r="AQ16" i="7"/>
  <c r="AW16" i="7" s="1"/>
  <c r="AY16" i="7" s="1"/>
  <c r="AZ16" i="7"/>
  <c r="BV14" i="7" s="1"/>
  <c r="CP16" i="17"/>
  <c r="CO16" i="17"/>
  <c r="CE4" i="7"/>
  <c r="CE3" i="7"/>
  <c r="CE5" i="7"/>
  <c r="CO19" i="7"/>
  <c r="CR20" i="7"/>
  <c r="CR21" i="7"/>
  <c r="CR22" i="7"/>
  <c r="CR19" i="7"/>
  <c r="CR23" i="7"/>
  <c r="CQ20" i="7"/>
  <c r="CP21" i="7"/>
  <c r="CO22" i="7"/>
  <c r="CQ23" i="7"/>
  <c r="CQ19" i="7"/>
  <c r="CP20" i="7"/>
  <c r="CO21" i="7"/>
  <c r="CQ22" i="7"/>
  <c r="CP23" i="7"/>
  <c r="CP19" i="7"/>
  <c r="CO20" i="7"/>
  <c r="CQ21" i="7"/>
  <c r="CP22" i="7"/>
  <c r="CO23" i="7"/>
  <c r="CE10" i="7"/>
  <c r="CE2" i="7"/>
  <c r="CP31" i="7"/>
  <c r="CE11" i="7"/>
  <c r="CE6" i="7"/>
  <c r="CE8" i="7"/>
  <c r="CE7" i="7"/>
  <c r="CE9" i="7"/>
  <c r="CK83" i="12"/>
  <c r="CK74" i="12"/>
  <c r="CK81" i="12"/>
  <c r="CK80" i="12"/>
  <c r="CK75" i="12"/>
  <c r="CK79" i="12"/>
  <c r="CK82" i="12"/>
  <c r="CK76" i="12"/>
  <c r="BJ10" i="7"/>
  <c r="BJ11" i="7"/>
  <c r="BJ2" i="7"/>
  <c r="BJ7" i="7"/>
  <c r="BJ8" i="7"/>
  <c r="BJ3" i="7"/>
  <c r="BJ6" i="7"/>
  <c r="BJ4" i="7"/>
  <c r="BJ9" i="7"/>
  <c r="BJ5" i="7"/>
  <c r="BK4" i="7"/>
  <c r="BK8" i="7"/>
  <c r="BK2" i="7"/>
  <c r="BK5" i="7"/>
  <c r="BK9" i="7"/>
  <c r="BK6" i="7"/>
  <c r="BK10" i="7"/>
  <c r="BK3" i="7"/>
  <c r="BK7" i="7"/>
  <c r="BK11" i="7"/>
  <c r="ER31" i="12"/>
  <c r="ES9" i="12"/>
  <c r="ER33" i="12"/>
  <c r="ES11" i="12"/>
  <c r="ER37" i="12"/>
  <c r="ES15" i="12"/>
  <c r="ER35" i="12"/>
  <c r="ES13" i="12"/>
  <c r="ER38" i="12"/>
  <c r="ES16" i="12"/>
  <c r="ES10" i="12"/>
  <c r="ER32" i="12"/>
  <c r="ER29" i="12"/>
  <c r="EL96" i="12" s="1"/>
  <c r="ES7" i="12"/>
  <c r="EN18" i="12" a="1"/>
  <c r="ES12" i="12"/>
  <c r="ER34" i="12"/>
  <c r="ES14" i="12"/>
  <c r="ER36" i="12"/>
  <c r="ER30" i="12"/>
  <c r="ES8" i="12"/>
  <c r="GX17" i="16"/>
  <c r="GX3" i="16"/>
  <c r="GX7" i="16"/>
  <c r="GX4" i="16"/>
  <c r="GX5" i="16"/>
  <c r="GX6" i="16"/>
  <c r="GX11" i="16"/>
  <c r="GX8" i="16"/>
  <c r="GX9" i="16"/>
  <c r="GX10" i="16"/>
  <c r="GX15" i="16"/>
  <c r="GX12" i="16"/>
  <c r="GX13" i="16"/>
  <c r="GX14" i="16"/>
  <c r="GX16" i="16"/>
  <c r="DY9" i="1"/>
  <c r="DT10" i="1"/>
  <c r="DV10" i="1" s="1"/>
  <c r="DN11" i="1" s="1"/>
  <c r="FW7" i="16"/>
  <c r="GI7" i="16" s="1"/>
  <c r="FW14" i="16"/>
  <c r="GI14" i="16" s="1"/>
  <c r="FW3" i="16"/>
  <c r="GI3" i="16" s="1"/>
  <c r="FW10" i="16"/>
  <c r="GI10" i="16" s="1"/>
  <c r="FW16" i="16"/>
  <c r="GI16" i="16" s="1"/>
  <c r="FW17" i="16"/>
  <c r="GI17" i="16" s="1"/>
  <c r="FV3" i="16"/>
  <c r="GP3" i="16" s="1"/>
  <c r="FT4" i="16"/>
  <c r="FV4" i="16"/>
  <c r="GP4" i="16" s="1"/>
  <c r="FU5" i="16"/>
  <c r="FV6" i="16"/>
  <c r="GP6" i="16" s="1"/>
  <c r="FV7" i="16"/>
  <c r="GP7" i="16" s="1"/>
  <c r="FV8" i="16"/>
  <c r="GP8" i="16" s="1"/>
  <c r="FV10" i="16"/>
  <c r="GP10" i="16" s="1"/>
  <c r="FV11" i="16"/>
  <c r="GP11" i="16" s="1"/>
  <c r="FT12" i="16"/>
  <c r="FV12" i="16"/>
  <c r="GP12" i="16" s="1"/>
  <c r="FU13" i="16"/>
  <c r="FV14" i="16"/>
  <c r="GP14" i="16" s="1"/>
  <c r="FV15" i="16"/>
  <c r="GP15" i="16" s="1"/>
  <c r="FV16" i="16"/>
  <c r="GP16" i="16" s="1"/>
  <c r="FQ186" i="16"/>
  <c r="FV17" i="16" s="1"/>
  <c r="GP17" i="16" s="1"/>
  <c r="FP186" i="16"/>
  <c r="FU17" i="16" s="1"/>
  <c r="FO186" i="16"/>
  <c r="FT17" i="16" s="1"/>
  <c r="FN186" i="16"/>
  <c r="FS17" i="16" s="1"/>
  <c r="GM17" i="16" s="1"/>
  <c r="GU17" i="16" s="1"/>
  <c r="FP174" i="16"/>
  <c r="FU16" i="16" s="1"/>
  <c r="FO174" i="16"/>
  <c r="FT16" i="16" s="1"/>
  <c r="FN174" i="16"/>
  <c r="FS16" i="16" s="1"/>
  <c r="GM16" i="16" s="1"/>
  <c r="GU16" i="16" s="1"/>
  <c r="FP162" i="16"/>
  <c r="FU15" i="16" s="1"/>
  <c r="FO162" i="16"/>
  <c r="FT15" i="16" s="1"/>
  <c r="FN162" i="16"/>
  <c r="FS15" i="16" s="1"/>
  <c r="GM15" i="16" s="1"/>
  <c r="GU15" i="16" s="1"/>
  <c r="FP150" i="16"/>
  <c r="FU14" i="16" s="1"/>
  <c r="FO150" i="16"/>
  <c r="FT14" i="16" s="1"/>
  <c r="FN150" i="16"/>
  <c r="FS14" i="16" s="1"/>
  <c r="GM14" i="16" s="1"/>
  <c r="GU14" i="16" s="1"/>
  <c r="FV13" i="16"/>
  <c r="GP13" i="16" s="1"/>
  <c r="FP138" i="16"/>
  <c r="FO138" i="16"/>
  <c r="FT13" i="16" s="1"/>
  <c r="FN138" i="16"/>
  <c r="FS13" i="16" s="1"/>
  <c r="GM13" i="16" s="1"/>
  <c r="GU13" i="16" s="1"/>
  <c r="FP126" i="16"/>
  <c r="FU12" i="16" s="1"/>
  <c r="FO126" i="16"/>
  <c r="FN126" i="16"/>
  <c r="FS12" i="16" s="1"/>
  <c r="GM12" i="16" s="1"/>
  <c r="GU12" i="16" s="1"/>
  <c r="FP114" i="16"/>
  <c r="FU11" i="16" s="1"/>
  <c r="FO114" i="16"/>
  <c r="FT11" i="16" s="1"/>
  <c r="FN114" i="16"/>
  <c r="FS11" i="16" s="1"/>
  <c r="GM11" i="16" s="1"/>
  <c r="GU11" i="16" s="1"/>
  <c r="FP102" i="16"/>
  <c r="FU10" i="16" s="1"/>
  <c r="FO102" i="16"/>
  <c r="FT10" i="16" s="1"/>
  <c r="FN102" i="16"/>
  <c r="FS10" i="16" s="1"/>
  <c r="GM10" i="16" s="1"/>
  <c r="GU10" i="16" s="1"/>
  <c r="FV9" i="16"/>
  <c r="GP9" i="16" s="1"/>
  <c r="FP90" i="16"/>
  <c r="FU9" i="16" s="1"/>
  <c r="FO90" i="16"/>
  <c r="FT9" i="16" s="1"/>
  <c r="FN90" i="16"/>
  <c r="FS9" i="16" s="1"/>
  <c r="GM9" i="16" s="1"/>
  <c r="GU9" i="16" s="1"/>
  <c r="FP78" i="16"/>
  <c r="FU8" i="16" s="1"/>
  <c r="FO78" i="16"/>
  <c r="FT8" i="16" s="1"/>
  <c r="FN78" i="16"/>
  <c r="FS8" i="16" s="1"/>
  <c r="GM8" i="16" s="1"/>
  <c r="GU8" i="16" s="1"/>
  <c r="FP66" i="16"/>
  <c r="FU7" i="16" s="1"/>
  <c r="FO66" i="16"/>
  <c r="FT7" i="16" s="1"/>
  <c r="FN66" i="16"/>
  <c r="FS7" i="16" s="1"/>
  <c r="GM7" i="16" s="1"/>
  <c r="GU7" i="16" s="1"/>
  <c r="FP54" i="16"/>
  <c r="FU6" i="16" s="1"/>
  <c r="FO54" i="16"/>
  <c r="FT6" i="16" s="1"/>
  <c r="FN54" i="16"/>
  <c r="FS6" i="16" s="1"/>
  <c r="GM6" i="16" s="1"/>
  <c r="GU6" i="16" s="1"/>
  <c r="FV5" i="16"/>
  <c r="GP5" i="16" s="1"/>
  <c r="FP42" i="16"/>
  <c r="FO42" i="16"/>
  <c r="FT5" i="16" s="1"/>
  <c r="FN42" i="16"/>
  <c r="FS5" i="16" s="1"/>
  <c r="GM5" i="16" s="1"/>
  <c r="GU5" i="16" s="1"/>
  <c r="FP30" i="16"/>
  <c r="FU4" i="16" s="1"/>
  <c r="FO30" i="16"/>
  <c r="FN30" i="16"/>
  <c r="FS4" i="16" s="1"/>
  <c r="GM4" i="16" s="1"/>
  <c r="GU4" i="16" s="1"/>
  <c r="FU3" i="16"/>
  <c r="FT3" i="16"/>
  <c r="GN3" i="16" s="1"/>
  <c r="GV3" i="16" s="1"/>
  <c r="FN18" i="16"/>
  <c r="FS3" i="16" s="1"/>
  <c r="GM3" i="16" s="1"/>
  <c r="GU3" i="16" s="1"/>
  <c r="DY14" i="7" l="1"/>
  <c r="BZ14" i="7"/>
  <c r="CQ14" i="7" s="1"/>
  <c r="CV14" i="7" s="1"/>
  <c r="AQ17" i="7"/>
  <c r="AW17" i="7" s="1"/>
  <c r="AY17" i="7" s="1"/>
  <c r="AZ17" i="7"/>
  <c r="BV15" i="7" s="1"/>
  <c r="CW12" i="7"/>
  <c r="CW14" i="7"/>
  <c r="CW13" i="7"/>
  <c r="CV12" i="7"/>
  <c r="CV13" i="7"/>
  <c r="CQ17" i="17"/>
  <c r="CU15" i="17" s="1"/>
  <c r="EF15" i="17" s="1"/>
  <c r="CG17" i="17"/>
  <c r="CM17" i="17" s="1"/>
  <c r="CV3" i="7"/>
  <c r="CV7" i="7"/>
  <c r="CV11" i="7"/>
  <c r="CV4" i="7"/>
  <c r="CV8" i="7"/>
  <c r="CV2" i="7"/>
  <c r="CV5" i="7"/>
  <c r="CV9" i="7"/>
  <c r="CV6" i="7"/>
  <c r="CV10" i="7"/>
  <c r="CW4" i="7"/>
  <c r="CW8" i="7"/>
  <c r="CW2" i="7"/>
  <c r="CW5" i="7"/>
  <c r="CW9" i="7"/>
  <c r="CW6" i="7"/>
  <c r="CW10" i="7"/>
  <c r="CW3" i="7"/>
  <c r="CW7" i="7"/>
  <c r="CW11" i="7"/>
  <c r="EK81" i="12"/>
  <c r="EL103" i="12"/>
  <c r="EK80" i="12"/>
  <c r="EL102" i="12"/>
  <c r="EK78" i="12"/>
  <c r="EL100" i="12"/>
  <c r="EK79" i="12"/>
  <c r="EL101" i="12"/>
  <c r="EK83" i="12"/>
  <c r="EL105" i="12"/>
  <c r="EK82" i="12"/>
  <c r="EL104" i="12"/>
  <c r="EK76" i="12"/>
  <c r="EL98" i="12"/>
  <c r="EK75" i="12"/>
  <c r="EL97" i="12"/>
  <c r="EK77" i="12"/>
  <c r="EL99" i="12"/>
  <c r="EK74" i="12"/>
  <c r="EK27" i="12" a="1"/>
  <c r="EO18" i="12"/>
  <c r="EO20" i="12"/>
  <c r="EO22" i="12"/>
  <c r="EN19" i="12"/>
  <c r="EN21" i="12"/>
  <c r="EN20" i="12"/>
  <c r="EO21" i="12"/>
  <c r="EN18" i="12"/>
  <c r="EN22" i="12"/>
  <c r="EO19" i="12"/>
  <c r="GH6" i="16"/>
  <c r="GO6" i="16"/>
  <c r="GW6" i="16" s="1"/>
  <c r="GH14" i="16"/>
  <c r="GO14" i="16"/>
  <c r="GW14" i="16" s="1"/>
  <c r="GG16" i="16"/>
  <c r="GN16" i="16"/>
  <c r="GV16" i="16" s="1"/>
  <c r="GH17" i="16"/>
  <c r="GO17" i="16"/>
  <c r="GW17" i="16" s="1"/>
  <c r="GG8" i="16"/>
  <c r="GN8" i="16"/>
  <c r="GV8" i="16" s="1"/>
  <c r="GH9" i="16"/>
  <c r="GO9" i="16"/>
  <c r="GW9" i="16" s="1"/>
  <c r="GH10" i="16"/>
  <c r="GO10" i="16"/>
  <c r="GW10" i="16" s="1"/>
  <c r="GG5" i="16"/>
  <c r="GN5" i="16"/>
  <c r="GV5" i="16" s="1"/>
  <c r="GH4" i="16"/>
  <c r="GO4" i="16"/>
  <c r="GW4" i="16" s="1"/>
  <c r="GG13" i="16"/>
  <c r="GN13" i="16"/>
  <c r="GV13" i="16" s="1"/>
  <c r="GG14" i="16"/>
  <c r="GN14" i="16"/>
  <c r="GV14" i="16" s="1"/>
  <c r="GH15" i="16"/>
  <c r="GO15" i="16"/>
  <c r="GW15" i="16" s="1"/>
  <c r="GG12" i="16"/>
  <c r="GN12" i="16"/>
  <c r="GV12" i="16" s="1"/>
  <c r="GG4" i="16"/>
  <c r="GN4" i="16"/>
  <c r="GV4" i="16" s="1"/>
  <c r="GH3" i="16"/>
  <c r="GO3" i="16"/>
  <c r="GW3" i="16" s="1"/>
  <c r="HF22" i="16" s="1" a="1"/>
  <c r="GG7" i="16"/>
  <c r="GN7" i="16"/>
  <c r="GV7" i="16" s="1"/>
  <c r="GH8" i="16"/>
  <c r="GO8" i="16"/>
  <c r="GW8" i="16" s="1"/>
  <c r="GG17" i="16"/>
  <c r="GN17" i="16"/>
  <c r="GV17" i="16" s="1"/>
  <c r="GG6" i="16"/>
  <c r="GN6" i="16"/>
  <c r="GV6" i="16" s="1"/>
  <c r="GH7" i="16"/>
  <c r="GO7" i="16"/>
  <c r="GW7" i="16" s="1"/>
  <c r="GG11" i="16"/>
  <c r="GN11" i="16"/>
  <c r="GV11" i="16" s="1"/>
  <c r="GH12" i="16"/>
  <c r="GO12" i="16"/>
  <c r="GW12" i="16" s="1"/>
  <c r="GH13" i="16"/>
  <c r="GO13" i="16"/>
  <c r="GW13" i="16" s="1"/>
  <c r="GH5" i="16"/>
  <c r="GO5" i="16"/>
  <c r="GW5" i="16" s="1"/>
  <c r="GG9" i="16"/>
  <c r="GN9" i="16"/>
  <c r="GV9" i="16" s="1"/>
  <c r="GG10" i="16"/>
  <c r="GN10" i="16"/>
  <c r="GV10" i="16" s="1"/>
  <c r="GH11" i="16"/>
  <c r="GO11" i="16"/>
  <c r="GW11" i="16" s="1"/>
  <c r="GG15" i="16"/>
  <c r="GN15" i="16"/>
  <c r="GV15" i="16" s="1"/>
  <c r="GH16" i="16"/>
  <c r="GO16" i="16"/>
  <c r="GW16" i="16" s="1"/>
  <c r="DY10" i="1"/>
  <c r="DT11" i="1"/>
  <c r="DV11" i="1" s="1"/>
  <c r="DN12" i="1" s="1"/>
  <c r="FW13" i="16"/>
  <c r="GI13" i="16" s="1"/>
  <c r="FW4" i="16"/>
  <c r="GI4" i="16" s="1"/>
  <c r="GF3" i="16"/>
  <c r="FY3" i="16"/>
  <c r="GF4" i="16"/>
  <c r="FY4" i="16"/>
  <c r="GF5" i="16"/>
  <c r="FY5" i="16"/>
  <c r="GF6" i="16"/>
  <c r="FY6" i="16"/>
  <c r="GF7" i="16"/>
  <c r="FY7" i="16"/>
  <c r="GF8" i="16"/>
  <c r="FY8" i="16"/>
  <c r="GF9" i="16"/>
  <c r="FY9" i="16"/>
  <c r="GF10" i="16"/>
  <c r="FY10" i="16"/>
  <c r="GF11" i="16"/>
  <c r="FY11" i="16"/>
  <c r="GF12" i="16"/>
  <c r="FY12" i="16"/>
  <c r="GF13" i="16"/>
  <c r="FY13" i="16"/>
  <c r="GF14" i="16"/>
  <c r="FY14" i="16"/>
  <c r="GF15" i="16"/>
  <c r="FY15" i="16"/>
  <c r="GF16" i="16"/>
  <c r="FY16" i="16"/>
  <c r="GF17" i="16"/>
  <c r="FY17" i="16"/>
  <c r="GG3" i="16"/>
  <c r="FT19" i="16" a="1"/>
  <c r="FX19" i="16" a="1"/>
  <c r="FW11" i="16"/>
  <c r="GI11" i="16" s="1"/>
  <c r="FW12" i="16"/>
  <c r="GI12" i="16" s="1"/>
  <c r="FW5" i="16"/>
  <c r="GI5" i="16" s="1"/>
  <c r="FW8" i="16"/>
  <c r="GI8" i="16" s="1"/>
  <c r="FW15" i="16"/>
  <c r="GI15" i="16" s="1"/>
  <c r="FW6" i="16"/>
  <c r="GI6" i="16" s="1"/>
  <c r="FW9" i="16"/>
  <c r="GI9" i="16" s="1"/>
  <c r="GY19" i="16" l="1" a="1"/>
  <c r="HA20" i="16" s="1"/>
  <c r="GV19" i="16" a="1"/>
  <c r="GW19" i="16" s="1"/>
  <c r="GV20" i="16"/>
  <c r="GV19" i="16"/>
  <c r="HF22" i="16"/>
  <c r="HF28" i="16" s="1"/>
  <c r="HI26" i="16"/>
  <c r="HH24" i="16"/>
  <c r="HG25" i="16"/>
  <c r="HF26" i="16"/>
  <c r="HI25" i="16"/>
  <c r="HI22" i="16"/>
  <c r="HH23" i="16"/>
  <c r="HG24" i="16"/>
  <c r="HF25" i="16"/>
  <c r="HI24" i="16"/>
  <c r="HH26" i="16"/>
  <c r="HH22" i="16"/>
  <c r="HH28" i="16" s="1"/>
  <c r="HG23" i="16"/>
  <c r="HF24" i="16"/>
  <c r="HK24" i="16" s="1"/>
  <c r="HI23" i="16"/>
  <c r="HH25" i="16"/>
  <c r="HG26" i="16"/>
  <c r="HG22" i="16"/>
  <c r="HF23" i="16"/>
  <c r="DY15" i="7"/>
  <c r="BZ15" i="7"/>
  <c r="CQ15" i="7" s="1"/>
  <c r="AZ18" i="7"/>
  <c r="BV16" i="7" s="1"/>
  <c r="AQ18" i="7"/>
  <c r="AW18" i="7" s="1"/>
  <c r="AY18" i="7" s="1"/>
  <c r="CP17" i="17"/>
  <c r="CO17" i="17"/>
  <c r="EG85" i="12" a="1"/>
  <c r="EI88" i="12" s="1"/>
  <c r="EG107" i="12" a="1"/>
  <c r="EI85" i="12"/>
  <c r="EM31" i="12"/>
  <c r="EL28" i="12"/>
  <c r="EK28" i="12"/>
  <c r="EM28" i="12"/>
  <c r="EK29" i="12"/>
  <c r="EM29" i="12"/>
  <c r="EL29" i="12"/>
  <c r="EK30" i="12"/>
  <c r="EL30" i="12"/>
  <c r="EK31" i="12"/>
  <c r="EM30" i="12"/>
  <c r="EL31" i="12"/>
  <c r="EK27" i="12"/>
  <c r="EL27" i="12"/>
  <c r="EM27" i="12"/>
  <c r="GZ19" i="16"/>
  <c r="HA19" i="16"/>
  <c r="GY20" i="16"/>
  <c r="GZ20" i="16"/>
  <c r="GJ14" i="16"/>
  <c r="GR14" i="16"/>
  <c r="GJ8" i="16"/>
  <c r="GR8" i="16"/>
  <c r="GJ4" i="16"/>
  <c r="GR4" i="16"/>
  <c r="GN19" i="16" a="1"/>
  <c r="GN19" i="16" s="1"/>
  <c r="GJ16" i="16"/>
  <c r="GR16" i="16"/>
  <c r="GJ12" i="16"/>
  <c r="GR12" i="16"/>
  <c r="GJ10" i="16"/>
  <c r="GR10" i="16"/>
  <c r="GJ6" i="16"/>
  <c r="GR6" i="16"/>
  <c r="GJ17" i="16"/>
  <c r="GR17" i="16"/>
  <c r="GJ15" i="16"/>
  <c r="GR15" i="16"/>
  <c r="GJ13" i="16"/>
  <c r="GR13" i="16"/>
  <c r="GJ11" i="16"/>
  <c r="GR11" i="16"/>
  <c r="GJ9" i="16"/>
  <c r="GR9" i="16"/>
  <c r="GJ7" i="16"/>
  <c r="GR7" i="16"/>
  <c r="GJ5" i="16"/>
  <c r="GR5" i="16"/>
  <c r="GJ3" i="16"/>
  <c r="GR3" i="16"/>
  <c r="DY11" i="1"/>
  <c r="DT12" i="1"/>
  <c r="DV12" i="1" s="1"/>
  <c r="DN13" i="1" s="1"/>
  <c r="FT19" i="16"/>
  <c r="FU21" i="16"/>
  <c r="FT21" i="16"/>
  <c r="FV20" i="16"/>
  <c r="FU20" i="16"/>
  <c r="FT20" i="16"/>
  <c r="FV19" i="16"/>
  <c r="FU19" i="16"/>
  <c r="FV23" i="16"/>
  <c r="FU23" i="16"/>
  <c r="FT23" i="16"/>
  <c r="FV22" i="16"/>
  <c r="FU22" i="16"/>
  <c r="FT22" i="16"/>
  <c r="FV21" i="16"/>
  <c r="GF19" i="16" a="1"/>
  <c r="GF23" i="16" s="1"/>
  <c r="FX19" i="16"/>
  <c r="FY20" i="16"/>
  <c r="FY22" i="16"/>
  <c r="FX22" i="16"/>
  <c r="FY19" i="16"/>
  <c r="FX20" i="16"/>
  <c r="FX23" i="16"/>
  <c r="FY23" i="16"/>
  <c r="FX21" i="16"/>
  <c r="FY21" i="16"/>
  <c r="GA19" i="16" a="1"/>
  <c r="GC19" i="16" s="1"/>
  <c r="GY19" i="16" l="1"/>
  <c r="GY25" i="16" s="1"/>
  <c r="HA23" i="16"/>
  <c r="GZ23" i="16"/>
  <c r="GY23" i="16"/>
  <c r="HA22" i="16"/>
  <c r="GZ22" i="16"/>
  <c r="GY22" i="16"/>
  <c r="HA21" i="16"/>
  <c r="GZ21" i="16"/>
  <c r="GY21" i="16"/>
  <c r="HC21" i="16" s="1"/>
  <c r="GO22" i="16"/>
  <c r="GO23" i="16"/>
  <c r="GW22" i="16"/>
  <c r="GW23" i="16"/>
  <c r="GV23" i="16"/>
  <c r="GW20" i="16"/>
  <c r="GW21" i="16"/>
  <c r="HG28" i="16"/>
  <c r="GV21" i="16"/>
  <c r="GV22" i="16"/>
  <c r="HI28" i="16"/>
  <c r="HC16" i="16"/>
  <c r="HC17" i="16"/>
  <c r="HC3" i="16"/>
  <c r="HC4" i="16"/>
  <c r="HC5" i="16"/>
  <c r="HC6" i="16"/>
  <c r="HC7" i="16"/>
  <c r="HC8" i="16"/>
  <c r="HC9" i="16"/>
  <c r="HC10" i="16"/>
  <c r="HC11" i="16"/>
  <c r="HC12" i="16"/>
  <c r="HC13" i="16"/>
  <c r="HC14" i="16"/>
  <c r="HC15" i="16"/>
  <c r="GN21" i="16"/>
  <c r="GQ20" i="16"/>
  <c r="HA25" i="16"/>
  <c r="GZ25" i="16"/>
  <c r="GN22" i="16"/>
  <c r="EN88" i="12"/>
  <c r="EI86" i="12"/>
  <c r="EG86" i="12"/>
  <c r="BZ16" i="7"/>
  <c r="CQ16" i="7" s="1"/>
  <c r="DY16" i="7"/>
  <c r="CW15" i="7"/>
  <c r="CV15" i="7"/>
  <c r="CG18" i="17"/>
  <c r="CM18" i="17" s="1"/>
  <c r="CQ18" i="17"/>
  <c r="CU16" i="17" s="1"/>
  <c r="EI89" i="12"/>
  <c r="EG87" i="12"/>
  <c r="EK87" i="12" s="1"/>
  <c r="EH86" i="12"/>
  <c r="EH85" i="12"/>
  <c r="EM88" i="12" s="1"/>
  <c r="EG85" i="12"/>
  <c r="EI87" i="12"/>
  <c r="EG88" i="12"/>
  <c r="EG89" i="12"/>
  <c r="EH87" i="12"/>
  <c r="EH88" i="12"/>
  <c r="EH89" i="12"/>
  <c r="EH107" i="12"/>
  <c r="EJ108" i="12"/>
  <c r="EJ110" i="12"/>
  <c r="EG107" i="12"/>
  <c r="EG109" i="12"/>
  <c r="EG111" i="12"/>
  <c r="EJ107" i="12"/>
  <c r="EJ109" i="12"/>
  <c r="EJ111" i="12"/>
  <c r="EG108" i="12"/>
  <c r="EG110" i="12"/>
  <c r="EI108" i="12"/>
  <c r="EH109" i="12"/>
  <c r="EI111" i="12"/>
  <c r="EI107" i="12"/>
  <c r="EH108" i="12"/>
  <c r="EI110" i="12"/>
  <c r="EH111" i="12"/>
  <c r="EI109" i="12"/>
  <c r="EH110" i="12"/>
  <c r="EL83" i="12"/>
  <c r="EH61" i="12"/>
  <c r="EH51" i="12"/>
  <c r="EH55" i="12"/>
  <c r="EH59" i="12"/>
  <c r="EH60" i="12"/>
  <c r="EH52" i="12"/>
  <c r="EH56" i="12"/>
  <c r="EH48" i="12"/>
  <c r="EH49" i="12"/>
  <c r="EH53" i="12"/>
  <c r="EH57" i="12"/>
  <c r="EH50" i="12"/>
  <c r="EH54" i="12"/>
  <c r="EH58" i="12"/>
  <c r="ES26" i="12"/>
  <c r="ES27" i="12"/>
  <c r="ES28" i="12"/>
  <c r="ES33" i="12"/>
  <c r="ES30" i="12"/>
  <c r="ES31" i="12"/>
  <c r="ES32" i="12"/>
  <c r="ES37" i="12"/>
  <c r="ES34" i="12"/>
  <c r="ES35" i="12"/>
  <c r="ES36" i="12"/>
  <c r="ES38" i="12"/>
  <c r="ES25" i="12"/>
  <c r="ES29" i="12"/>
  <c r="BZ25" i="12"/>
  <c r="CC2" i="12" s="1"/>
  <c r="CB9" i="12"/>
  <c r="BY25" i="12"/>
  <c r="HB13" i="16"/>
  <c r="HB14" i="16"/>
  <c r="HB15" i="16"/>
  <c r="HB16" i="16"/>
  <c r="GG19" i="16"/>
  <c r="GO20" i="16"/>
  <c r="GO21" i="16"/>
  <c r="GP21" i="16"/>
  <c r="GP22" i="16"/>
  <c r="GQ23" i="16"/>
  <c r="GP19" i="16"/>
  <c r="GP20" i="16"/>
  <c r="GN20" i="16"/>
  <c r="GQ22" i="16"/>
  <c r="GQ19" i="16"/>
  <c r="GP23" i="16"/>
  <c r="GN23" i="16"/>
  <c r="GO19" i="16"/>
  <c r="GQ21" i="16"/>
  <c r="DY12" i="1"/>
  <c r="DY14" i="1" s="1" a="1"/>
  <c r="DY14" i="1" s="1"/>
  <c r="DT13" i="1"/>
  <c r="DV13" i="1" s="1"/>
  <c r="DN14" i="1" s="1"/>
  <c r="DT14" i="1" s="1"/>
  <c r="DV14" i="1" s="1"/>
  <c r="GF19" i="16"/>
  <c r="GH20" i="16"/>
  <c r="GF22" i="16"/>
  <c r="GH19" i="16"/>
  <c r="GF21" i="16"/>
  <c r="GG22" i="16"/>
  <c r="GG23" i="16"/>
  <c r="GF20" i="16"/>
  <c r="GG21" i="16"/>
  <c r="GH22" i="16"/>
  <c r="GH23" i="16"/>
  <c r="GG20" i="16"/>
  <c r="GH21" i="16"/>
  <c r="GA4" i="16"/>
  <c r="GA8" i="16"/>
  <c r="GA12" i="16"/>
  <c r="GA16" i="16"/>
  <c r="GA5" i="16"/>
  <c r="GA9" i="16"/>
  <c r="GA13" i="16"/>
  <c r="GA17" i="16"/>
  <c r="GA6" i="16"/>
  <c r="GA10" i="16"/>
  <c r="GA14" i="16"/>
  <c r="GA3" i="16"/>
  <c r="GA7" i="16"/>
  <c r="GA11" i="16"/>
  <c r="GA15" i="16"/>
  <c r="GB19" i="16"/>
  <c r="GB20" i="16"/>
  <c r="GD21" i="16"/>
  <c r="GC23" i="16"/>
  <c r="GA22" i="16"/>
  <c r="GC22" i="16"/>
  <c r="GD20" i="16"/>
  <c r="GC20" i="16"/>
  <c r="GB23" i="16"/>
  <c r="GD23" i="16"/>
  <c r="GD19" i="16"/>
  <c r="GC21" i="16"/>
  <c r="GB22" i="16"/>
  <c r="GB21" i="16"/>
  <c r="GA19" i="16"/>
  <c r="GA20" i="16"/>
  <c r="GA21" i="16"/>
  <c r="GA23" i="16"/>
  <c r="GD22" i="16"/>
  <c r="CB15" i="12"/>
  <c r="CB14" i="12"/>
  <c r="CC13" i="12"/>
  <c r="CC12" i="12"/>
  <c r="CB12" i="12"/>
  <c r="CB11" i="12"/>
  <c r="CB10" i="12"/>
  <c r="CC9" i="12"/>
  <c r="CC8" i="12"/>
  <c r="CB8" i="12"/>
  <c r="CB7" i="12"/>
  <c r="CB6" i="12"/>
  <c r="CC5" i="12"/>
  <c r="CC4" i="12"/>
  <c r="CB4" i="12"/>
  <c r="CB3" i="12"/>
  <c r="CB2" i="12"/>
  <c r="P5" i="20"/>
  <c r="AZ5" i="20" s="1"/>
  <c r="P6" i="20"/>
  <c r="AZ6" i="20" s="1"/>
  <c r="P7" i="20"/>
  <c r="P8" i="20"/>
  <c r="P9" i="20"/>
  <c r="AZ9" i="20" s="1"/>
  <c r="P10" i="20"/>
  <c r="AZ10" i="20" s="1"/>
  <c r="P11" i="20"/>
  <c r="P12" i="20"/>
  <c r="P13" i="20"/>
  <c r="AZ13" i="20" s="1"/>
  <c r="P14" i="20"/>
  <c r="AZ14" i="20" s="1"/>
  <c r="P15" i="20"/>
  <c r="P16" i="20"/>
  <c r="P17" i="20"/>
  <c r="AZ17" i="20" s="1"/>
  <c r="P18" i="20"/>
  <c r="AZ18" i="20" s="1"/>
  <c r="P19" i="20"/>
  <c r="P20" i="20"/>
  <c r="P21" i="20"/>
  <c r="P4" i="20"/>
  <c r="AZ7" i="20"/>
  <c r="AZ8" i="20"/>
  <c r="AZ11" i="20"/>
  <c r="AZ12" i="20"/>
  <c r="AZ15" i="20"/>
  <c r="AZ16" i="20"/>
  <c r="AZ4" i="20"/>
  <c r="BA5" i="20"/>
  <c r="BD5" i="20"/>
  <c r="BE5" i="20"/>
  <c r="BA6" i="20"/>
  <c r="BD6" i="20"/>
  <c r="BE6" i="20"/>
  <c r="BA7" i="20"/>
  <c r="BD7" i="20"/>
  <c r="BE7" i="20"/>
  <c r="BA8" i="20"/>
  <c r="BD8" i="20"/>
  <c r="BE8" i="20"/>
  <c r="BA9" i="20"/>
  <c r="BD9" i="20"/>
  <c r="BE9" i="20"/>
  <c r="BA10" i="20"/>
  <c r="BD10" i="20"/>
  <c r="BE10" i="20"/>
  <c r="BA11" i="20"/>
  <c r="BD11" i="20"/>
  <c r="BE11" i="20"/>
  <c r="BA12" i="20"/>
  <c r="BD12" i="20"/>
  <c r="BE12" i="20"/>
  <c r="BA13" i="20"/>
  <c r="BD13" i="20"/>
  <c r="BE13" i="20"/>
  <c r="BA14" i="20"/>
  <c r="BD14" i="20"/>
  <c r="BE14" i="20"/>
  <c r="BA15" i="20"/>
  <c r="BD15" i="20"/>
  <c r="BE15" i="20"/>
  <c r="BA16" i="20"/>
  <c r="BD16" i="20"/>
  <c r="BE16" i="20"/>
  <c r="BA17" i="20"/>
  <c r="BD17" i="20"/>
  <c r="BE17" i="20"/>
  <c r="BA18" i="20"/>
  <c r="BD18" i="20"/>
  <c r="BE18" i="20"/>
  <c r="BA4" i="20"/>
  <c r="BD4" i="20"/>
  <c r="BE4" i="20"/>
  <c r="AX4" i="20"/>
  <c r="AX5" i="20"/>
  <c r="AX6" i="20"/>
  <c r="AX7" i="20"/>
  <c r="AX8" i="20"/>
  <c r="AX9" i="20"/>
  <c r="AX10" i="20"/>
  <c r="AX11" i="20"/>
  <c r="AX12" i="20"/>
  <c r="AX13" i="20"/>
  <c r="AX14" i="20"/>
  <c r="AX15" i="20"/>
  <c r="AX16" i="20"/>
  <c r="AX17" i="20"/>
  <c r="AX18" i="20"/>
  <c r="BE3" i="20"/>
  <c r="BD3" i="20"/>
  <c r="AY3" i="20"/>
  <c r="AX3" i="20"/>
  <c r="CC3" i="12"/>
  <c r="CB5" i="12"/>
  <c r="CC6" i="12"/>
  <c r="CC7" i="12"/>
  <c r="CC10" i="12"/>
  <c r="CC11" i="12"/>
  <c r="CB13" i="12"/>
  <c r="CC14" i="12"/>
  <c r="CC15" i="12"/>
  <c r="AQ5" i="20" a="1"/>
  <c r="AQ6" i="20" a="1"/>
  <c r="AQ7" i="20" a="1"/>
  <c r="AQ8" i="20" a="1"/>
  <c r="AQ9" i="20" a="1"/>
  <c r="AQ10" i="20" a="1"/>
  <c r="AQ11" i="20" a="1"/>
  <c r="AQ12" i="20" a="1"/>
  <c r="AQ13" i="20" a="1"/>
  <c r="AQ14" i="20" a="1"/>
  <c r="AQ15" i="20" a="1"/>
  <c r="AQ16" i="20" a="1"/>
  <c r="AQ17" i="20" a="1"/>
  <c r="AQ18" i="20" a="1"/>
  <c r="AQ4" i="20" a="1"/>
  <c r="AE7" i="20"/>
  <c r="AE8" i="20"/>
  <c r="AE9" i="20"/>
  <c r="AE10" i="20"/>
  <c r="AE11" i="20"/>
  <c r="AE12" i="20"/>
  <c r="AJ5" i="20"/>
  <c r="AL5" i="20"/>
  <c r="AM5" i="20"/>
  <c r="AN5" i="20"/>
  <c r="AJ6" i="20"/>
  <c r="AL6" i="20"/>
  <c r="AM6" i="20"/>
  <c r="AN6" i="20"/>
  <c r="AJ7" i="20"/>
  <c r="AL7" i="20"/>
  <c r="AM7" i="20"/>
  <c r="AN7" i="20"/>
  <c r="AJ8" i="20"/>
  <c r="AL8" i="20"/>
  <c r="AM8" i="20"/>
  <c r="AN8" i="20"/>
  <c r="AJ9" i="20"/>
  <c r="AL9" i="20"/>
  <c r="AM9" i="20"/>
  <c r="AN9" i="20"/>
  <c r="AJ10" i="20"/>
  <c r="AL10" i="20"/>
  <c r="AM10" i="20"/>
  <c r="AN10" i="20"/>
  <c r="AJ11" i="20"/>
  <c r="AL11" i="20"/>
  <c r="AM11" i="20"/>
  <c r="AN11" i="20"/>
  <c r="AJ12" i="20"/>
  <c r="AL12" i="20"/>
  <c r="AM12" i="20"/>
  <c r="AN12" i="20"/>
  <c r="AJ13" i="20"/>
  <c r="AL13" i="20"/>
  <c r="AM13" i="20"/>
  <c r="AN13" i="20"/>
  <c r="AJ14" i="20"/>
  <c r="AL14" i="20"/>
  <c r="AM14" i="20"/>
  <c r="AN14" i="20"/>
  <c r="AJ15" i="20"/>
  <c r="AL15" i="20"/>
  <c r="AM15" i="20"/>
  <c r="AN15" i="20"/>
  <c r="AJ16" i="20"/>
  <c r="AL16" i="20"/>
  <c r="AM16" i="20"/>
  <c r="AN16" i="20"/>
  <c r="AJ17" i="20"/>
  <c r="AL17" i="20"/>
  <c r="AM17" i="20"/>
  <c r="AN17" i="20"/>
  <c r="AJ18" i="20"/>
  <c r="AL18" i="20"/>
  <c r="AM18" i="20"/>
  <c r="AN18" i="20"/>
  <c r="AN4" i="20"/>
  <c r="AM4" i="20"/>
  <c r="AL4" i="20"/>
  <c r="AJ4" i="20"/>
  <c r="AN3" i="20"/>
  <c r="AM3" i="20"/>
  <c r="AK3" i="20"/>
  <c r="AJ3" i="20"/>
  <c r="AE13" i="20"/>
  <c r="AE14" i="20"/>
  <c r="AE15" i="20"/>
  <c r="AE16" i="20"/>
  <c r="AE17" i="20"/>
  <c r="AE18" i="20"/>
  <c r="AE19" i="20"/>
  <c r="AE5" i="20"/>
  <c r="AE6" i="20"/>
  <c r="AE4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5" i="20"/>
  <c r="AA4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Z6" i="20"/>
  <c r="Z7" i="20"/>
  <c r="Z8" i="20"/>
  <c r="Z9" i="20"/>
  <c r="Z10" i="20" s="1"/>
  <c r="Z11" i="20" s="1"/>
  <c r="Z12" i="20" s="1"/>
  <c r="Z13" i="20" s="1"/>
  <c r="Z14" i="20" s="1"/>
  <c r="Z15" i="20" s="1"/>
  <c r="Z16" i="20" s="1"/>
  <c r="Z17" i="20" s="1"/>
  <c r="Z18" i="20" s="1"/>
  <c r="Z19" i="20" s="1"/>
  <c r="Z5" i="20"/>
  <c r="O5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4" i="20"/>
  <c r="T14" i="20"/>
  <c r="T26" i="20"/>
  <c r="T38" i="20"/>
  <c r="T50" i="20"/>
  <c r="T62" i="20"/>
  <c r="T74" i="20"/>
  <c r="T86" i="20"/>
  <c r="T98" i="20"/>
  <c r="T110" i="20"/>
  <c r="T122" i="20"/>
  <c r="T134" i="20"/>
  <c r="T146" i="20"/>
  <c r="T158" i="20"/>
  <c r="T170" i="20"/>
  <c r="T182" i="20"/>
  <c r="T194" i="20"/>
  <c r="W18" i="20" s="1"/>
  <c r="W15" i="20"/>
  <c r="W11" i="20"/>
  <c r="W5" i="20"/>
  <c r="W6" i="20"/>
  <c r="W7" i="20"/>
  <c r="W8" i="20"/>
  <c r="W9" i="20"/>
  <c r="W10" i="20"/>
  <c r="W12" i="20"/>
  <c r="W13" i="20"/>
  <c r="W14" i="20"/>
  <c r="W16" i="20"/>
  <c r="W17" i="20"/>
  <c r="V18" i="20"/>
  <c r="V17" i="20"/>
  <c r="V16" i="20"/>
  <c r="V15" i="20"/>
  <c r="V14" i="20"/>
  <c r="V13" i="20"/>
  <c r="V12" i="20"/>
  <c r="V11" i="20"/>
  <c r="V10" i="20"/>
  <c r="V9" i="20"/>
  <c r="V8" i="20"/>
  <c r="V7" i="20"/>
  <c r="V6" i="20"/>
  <c r="V5" i="20"/>
  <c r="V4" i="20"/>
  <c r="S182" i="20"/>
  <c r="S194" i="20"/>
  <c r="S170" i="20"/>
  <c r="S158" i="20"/>
  <c r="S146" i="20"/>
  <c r="S134" i="20"/>
  <c r="S122" i="20"/>
  <c r="S110" i="20"/>
  <c r="S98" i="20"/>
  <c r="S86" i="20"/>
  <c r="S74" i="20"/>
  <c r="S62" i="20"/>
  <c r="S50" i="20"/>
  <c r="S38" i="20"/>
  <c r="S26" i="20"/>
  <c r="S14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B21" i="20"/>
  <c r="HB12" i="16" l="1"/>
  <c r="HB11" i="16"/>
  <c r="HB10" i="16"/>
  <c r="HB9" i="16"/>
  <c r="HB8" i="16"/>
  <c r="HB7" i="16"/>
  <c r="HB6" i="16"/>
  <c r="HB5" i="16"/>
  <c r="HB4" i="16"/>
  <c r="HB3" i="16"/>
  <c r="HB17" i="16"/>
  <c r="EL75" i="12"/>
  <c r="EL88" i="12"/>
  <c r="EL72" i="12"/>
  <c r="DA26" i="7" a="1"/>
  <c r="CU19" i="7" a="1"/>
  <c r="DA19" i="7" a="1"/>
  <c r="CW16" i="7"/>
  <c r="CV16" i="7"/>
  <c r="CO18" i="17"/>
  <c r="CP18" i="17"/>
  <c r="EF16" i="17"/>
  <c r="EE19" i="17" s="1" a="1"/>
  <c r="DK19" i="17" a="1"/>
  <c r="EL76" i="12"/>
  <c r="EL81" i="12"/>
  <c r="EL73" i="12"/>
  <c r="EL74" i="12"/>
  <c r="EL79" i="12"/>
  <c r="EL80" i="12"/>
  <c r="EL70" i="12"/>
  <c r="EL77" i="12"/>
  <c r="EL78" i="12"/>
  <c r="EL71" i="12"/>
  <c r="EL82" i="12"/>
  <c r="CG77" i="12"/>
  <c r="CC29" i="12"/>
  <c r="CG81" i="12"/>
  <c r="CC24" i="12"/>
  <c r="CG76" i="12"/>
  <c r="CC27" i="12"/>
  <c r="CG79" i="12"/>
  <c r="CC30" i="12"/>
  <c r="CG82" i="12"/>
  <c r="CC18" i="12"/>
  <c r="CG70" i="12"/>
  <c r="CC28" i="12"/>
  <c r="CG80" i="12"/>
  <c r="CC31" i="12"/>
  <c r="CG83" i="12"/>
  <c r="CC21" i="12"/>
  <c r="CG73" i="12"/>
  <c r="CC19" i="12"/>
  <c r="CG71" i="12"/>
  <c r="CC22" i="12"/>
  <c r="CG74" i="12"/>
  <c r="CC20" i="12"/>
  <c r="CG72" i="12"/>
  <c r="CC23" i="12"/>
  <c r="CG75" i="12"/>
  <c r="CC26" i="12"/>
  <c r="CG78" i="12"/>
  <c r="CI4" i="12" a="1"/>
  <c r="CI11" i="12" a="1"/>
  <c r="CC25" i="12"/>
  <c r="DY17" i="1"/>
  <c r="DZ18" i="1"/>
  <c r="DZ16" i="1"/>
  <c r="DY15" i="1"/>
  <c r="DZ14" i="1"/>
  <c r="DZ15" i="1"/>
  <c r="EB14" i="1" a="1"/>
  <c r="ED14" i="1" s="1"/>
  <c r="DY18" i="1"/>
  <c r="DZ17" i="1"/>
  <c r="DY16" i="1"/>
  <c r="AF12" i="20"/>
  <c r="AF16" i="20"/>
  <c r="AF8" i="20"/>
  <c r="AK4" i="20"/>
  <c r="AF19" i="20"/>
  <c r="AF15" i="20"/>
  <c r="AF11" i="20"/>
  <c r="AF7" i="20"/>
  <c r="AF6" i="20"/>
  <c r="AF18" i="20"/>
  <c r="AF14" i="20"/>
  <c r="AF10" i="20"/>
  <c r="AF17" i="20"/>
  <c r="AF13" i="20"/>
  <c r="AF9" i="20"/>
  <c r="AF5" i="20"/>
  <c r="AG5" i="20" s="1"/>
  <c r="AA6" i="20" s="1"/>
  <c r="W20" i="20" a="1"/>
  <c r="W20" i="20" s="1"/>
  <c r="AH23" i="12"/>
  <c r="AH35" i="12"/>
  <c r="AI35" i="12"/>
  <c r="AH47" i="12"/>
  <c r="AI47" i="12"/>
  <c r="AH59" i="12"/>
  <c r="AI59" i="12"/>
  <c r="AH71" i="12"/>
  <c r="AI71" i="12"/>
  <c r="AH83" i="12"/>
  <c r="AI83" i="12"/>
  <c r="AH95" i="12"/>
  <c r="AI95" i="12"/>
  <c r="AH107" i="12"/>
  <c r="AI107" i="12"/>
  <c r="AH119" i="12"/>
  <c r="AI119" i="12"/>
  <c r="AH131" i="12"/>
  <c r="AI131" i="12"/>
  <c r="AH143" i="12"/>
  <c r="AI143" i="12"/>
  <c r="AH155" i="12"/>
  <c r="AI155" i="12"/>
  <c r="AH167" i="12"/>
  <c r="AI167" i="12"/>
  <c r="AH179" i="12"/>
  <c r="AI179" i="12"/>
  <c r="DJ4" i="16"/>
  <c r="DJ5" i="16"/>
  <c r="DJ6" i="16"/>
  <c r="DJ7" i="16"/>
  <c r="DJ8" i="16"/>
  <c r="DJ9" i="16"/>
  <c r="DJ10" i="16"/>
  <c r="DJ11" i="16"/>
  <c r="DJ12" i="16"/>
  <c r="DJ13" i="16"/>
  <c r="DJ14" i="16"/>
  <c r="DJ15" i="16"/>
  <c r="DJ16" i="16"/>
  <c r="DJ17" i="16"/>
  <c r="DJ3" i="16"/>
  <c r="DG6" i="16"/>
  <c r="DG3" i="16"/>
  <c r="DS3" i="16" s="1"/>
  <c r="DC187" i="16"/>
  <c r="DB187" i="16"/>
  <c r="DA187" i="16"/>
  <c r="DI17" i="16"/>
  <c r="DH17" i="16"/>
  <c r="DG17" i="16"/>
  <c r="CZ186" i="16"/>
  <c r="DC175" i="16"/>
  <c r="DB175" i="16"/>
  <c r="DA175" i="16"/>
  <c r="DI16" i="16"/>
  <c r="DH16" i="16"/>
  <c r="DG16" i="16"/>
  <c r="CZ174" i="16"/>
  <c r="DC163" i="16"/>
  <c r="DB163" i="16"/>
  <c r="DA163" i="16"/>
  <c r="DI15" i="16"/>
  <c r="DH15" i="16"/>
  <c r="DG15" i="16"/>
  <c r="CZ162" i="16"/>
  <c r="DC151" i="16"/>
  <c r="DB151" i="16"/>
  <c r="DA151" i="16"/>
  <c r="DI14" i="16"/>
  <c r="DH14" i="16"/>
  <c r="DG14" i="16"/>
  <c r="CZ150" i="16"/>
  <c r="DC139" i="16"/>
  <c r="DB139" i="16"/>
  <c r="DA139" i="16"/>
  <c r="DI13" i="16"/>
  <c r="DH13" i="16"/>
  <c r="DG13" i="16"/>
  <c r="CZ138" i="16"/>
  <c r="DC127" i="16"/>
  <c r="DB127" i="16"/>
  <c r="DA127" i="16"/>
  <c r="DI12" i="16"/>
  <c r="DH12" i="16"/>
  <c r="DG12" i="16"/>
  <c r="CZ126" i="16"/>
  <c r="DC115" i="16"/>
  <c r="DB115" i="16"/>
  <c r="DA115" i="16"/>
  <c r="DI11" i="16"/>
  <c r="DH11" i="16"/>
  <c r="CZ114" i="16"/>
  <c r="DG11" i="16" s="1"/>
  <c r="DC103" i="16"/>
  <c r="DB103" i="16"/>
  <c r="DA103" i="16"/>
  <c r="DI10" i="16"/>
  <c r="DH10" i="16"/>
  <c r="DG10" i="16"/>
  <c r="CZ102" i="16"/>
  <c r="DC91" i="16"/>
  <c r="DB91" i="16"/>
  <c r="DA91" i="16"/>
  <c r="DI9" i="16"/>
  <c r="DH9" i="16"/>
  <c r="DG9" i="16"/>
  <c r="CZ90" i="16"/>
  <c r="DC79" i="16"/>
  <c r="DB79" i="16"/>
  <c r="DA79" i="16"/>
  <c r="DI8" i="16"/>
  <c r="DH8" i="16"/>
  <c r="DG8" i="16"/>
  <c r="CZ78" i="16"/>
  <c r="DC67" i="16"/>
  <c r="DB67" i="16"/>
  <c r="DA67" i="16"/>
  <c r="DI7" i="16"/>
  <c r="DH7" i="16"/>
  <c r="DG7" i="16"/>
  <c r="CZ66" i="16"/>
  <c r="DC55" i="16"/>
  <c r="DB55" i="16"/>
  <c r="DA55" i="16"/>
  <c r="DI6" i="16"/>
  <c r="DH6" i="16"/>
  <c r="CZ54" i="16"/>
  <c r="DC43" i="16"/>
  <c r="DB43" i="16"/>
  <c r="DA43" i="16"/>
  <c r="DI5" i="16"/>
  <c r="DH5" i="16"/>
  <c r="DG5" i="16"/>
  <c r="CZ42" i="16"/>
  <c r="DC31" i="16"/>
  <c r="DB31" i="16"/>
  <c r="DA31" i="16"/>
  <c r="DI4" i="16"/>
  <c r="DH4" i="16"/>
  <c r="DG4" i="16"/>
  <c r="CZ30" i="16"/>
  <c r="DC19" i="16"/>
  <c r="DB19" i="16"/>
  <c r="DA19" i="16"/>
  <c r="DI3" i="16"/>
  <c r="DH3" i="16"/>
  <c r="DT3" i="16" s="1"/>
  <c r="CZ18" i="16"/>
  <c r="DS28" i="16" l="1" a="1"/>
  <c r="DS19" i="16" a="1"/>
  <c r="EH21" i="17"/>
  <c r="EE20" i="17"/>
  <c r="EE23" i="17"/>
  <c r="EF21" i="17"/>
  <c r="EG19" i="17"/>
  <c r="EG22" i="17"/>
  <c r="EH20" i="17"/>
  <c r="EH23" i="17"/>
  <c r="EE22" i="17"/>
  <c r="EF20" i="17"/>
  <c r="EF23" i="17"/>
  <c r="EG21" i="17"/>
  <c r="EH19" i="17"/>
  <c r="EH22" i="17"/>
  <c r="EE21" i="17"/>
  <c r="EJ21" i="17" s="1"/>
  <c r="EE19" i="17"/>
  <c r="EE25" i="17" s="1"/>
  <c r="EF19" i="17"/>
  <c r="EF22" i="17"/>
  <c r="EG20" i="17"/>
  <c r="EG23" i="17"/>
  <c r="DD21" i="7"/>
  <c r="DD20" i="7"/>
  <c r="DC20" i="7"/>
  <c r="DA23" i="7"/>
  <c r="DD23" i="7"/>
  <c r="DC23" i="7"/>
  <c r="DB21" i="7"/>
  <c r="DB19" i="7"/>
  <c r="DA19" i="7"/>
  <c r="DD19" i="7"/>
  <c r="DB22" i="7"/>
  <c r="DA22" i="7"/>
  <c r="DC21" i="7"/>
  <c r="DB23" i="7"/>
  <c r="DA20" i="7"/>
  <c r="DA21" i="7"/>
  <c r="DC19" i="7"/>
  <c r="DC22" i="7"/>
  <c r="DD22" i="7"/>
  <c r="DB20" i="7"/>
  <c r="CU19" i="7"/>
  <c r="CX23" i="7"/>
  <c r="CY19" i="7"/>
  <c r="CW21" i="7"/>
  <c r="CU20" i="7"/>
  <c r="CY23" i="7"/>
  <c r="CV21" i="7"/>
  <c r="CU22" i="7"/>
  <c r="CY20" i="7"/>
  <c r="CV19" i="7"/>
  <c r="CY21" i="7"/>
  <c r="CX21" i="7"/>
  <c r="CX19" i="7"/>
  <c r="CY22" i="7"/>
  <c r="CW19" i="7"/>
  <c r="CW22" i="7"/>
  <c r="CU23" i="7"/>
  <c r="CV20" i="7"/>
  <c r="CW20" i="7"/>
  <c r="CV23" i="7"/>
  <c r="CX22" i="7"/>
  <c r="CU21" i="7"/>
  <c r="CV22" i="7"/>
  <c r="CX20" i="7"/>
  <c r="CW23" i="7"/>
  <c r="DB26" i="7"/>
  <c r="DC28" i="7"/>
  <c r="DA26" i="7"/>
  <c r="DB29" i="7"/>
  <c r="DA29" i="7"/>
  <c r="DB28" i="7"/>
  <c r="DA30" i="7"/>
  <c r="DA28" i="7"/>
  <c r="DC27" i="7"/>
  <c r="DA27" i="7"/>
  <c r="DB27" i="7"/>
  <c r="DC26" i="7"/>
  <c r="DC29" i="7"/>
  <c r="DC30" i="7"/>
  <c r="DB30" i="7"/>
  <c r="DN19" i="17"/>
  <c r="DO21" i="17"/>
  <c r="DL23" i="17"/>
  <c r="DK20" i="17"/>
  <c r="DL22" i="17"/>
  <c r="DK19" i="17"/>
  <c r="DL21" i="17"/>
  <c r="DK21" i="17"/>
  <c r="DM22" i="17"/>
  <c r="DL19" i="17"/>
  <c r="DM21" i="17"/>
  <c r="DN23" i="17"/>
  <c r="DM20" i="17"/>
  <c r="DM23" i="17"/>
  <c r="DL20" i="17"/>
  <c r="DN21" i="17"/>
  <c r="DO23" i="17"/>
  <c r="DN20" i="17"/>
  <c r="DO22" i="17"/>
  <c r="DN22" i="17"/>
  <c r="DM19" i="17"/>
  <c r="DO20" i="17"/>
  <c r="DK23" i="17"/>
  <c r="DO19" i="17"/>
  <c r="DK22" i="17"/>
  <c r="CJ34" i="12" a="1"/>
  <c r="CK34" i="12" s="1"/>
  <c r="CG85" i="12" a="1"/>
  <c r="AY4" i="20"/>
  <c r="CI11" i="12"/>
  <c r="CJ14" i="12"/>
  <c r="CI14" i="12"/>
  <c r="CK14" i="12"/>
  <c r="CK13" i="12"/>
  <c r="CI13" i="12"/>
  <c r="CK12" i="12"/>
  <c r="CJ13" i="12"/>
  <c r="CJ12" i="12"/>
  <c r="CK11" i="12"/>
  <c r="CJ11" i="12"/>
  <c r="CI12" i="12"/>
  <c r="CJ15" i="12"/>
  <c r="CK15" i="12"/>
  <c r="CI15" i="12"/>
  <c r="CJ5" i="12"/>
  <c r="CJ7" i="12"/>
  <c r="CI4" i="12"/>
  <c r="CI6" i="12"/>
  <c r="CI8" i="12"/>
  <c r="CJ4" i="12"/>
  <c r="CJ6" i="12"/>
  <c r="CJ8" i="12"/>
  <c r="CI5" i="12"/>
  <c r="CI7" i="12"/>
  <c r="CF18" i="12" a="1"/>
  <c r="CF25" i="12" a="1"/>
  <c r="ED15" i="1"/>
  <c r="EC14" i="1"/>
  <c r="EB17" i="1"/>
  <c r="EC18" i="1"/>
  <c r="EB18" i="1"/>
  <c r="ED16" i="1"/>
  <c r="EC15" i="1"/>
  <c r="EB14" i="1"/>
  <c r="ED17" i="1"/>
  <c r="EC16" i="1"/>
  <c r="EB15" i="1"/>
  <c r="ED18" i="1"/>
  <c r="EC17" i="1"/>
  <c r="EB16" i="1"/>
  <c r="X20" i="20"/>
  <c r="X24" i="20"/>
  <c r="W21" i="20"/>
  <c r="X23" i="20"/>
  <c r="X21" i="20"/>
  <c r="W23" i="20"/>
  <c r="W24" i="20"/>
  <c r="X22" i="20"/>
  <c r="W22" i="20"/>
  <c r="DG19" i="16" a="1"/>
  <c r="DI20" i="16" s="1"/>
  <c r="AI203" i="1"/>
  <c r="DS30" i="16" l="1"/>
  <c r="DT30" i="16"/>
  <c r="DU30" i="16"/>
  <c r="DS31" i="16"/>
  <c r="DU32" i="16"/>
  <c r="DU28" i="16"/>
  <c r="DS29" i="16"/>
  <c r="DT29" i="16"/>
  <c r="DU29" i="16"/>
  <c r="DT31" i="16"/>
  <c r="DU31" i="16"/>
  <c r="DS32" i="16"/>
  <c r="DT32" i="16"/>
  <c r="DS28" i="16"/>
  <c r="DT28" i="16"/>
  <c r="DS21" i="16"/>
  <c r="DV21" i="16" s="1"/>
  <c r="DT23" i="16"/>
  <c r="DT22" i="16"/>
  <c r="DS23" i="16"/>
  <c r="DS20" i="16"/>
  <c r="DT19" i="16"/>
  <c r="DS22" i="16"/>
  <c r="DS19" i="16"/>
  <c r="DT21" i="16"/>
  <c r="DT20" i="16"/>
  <c r="EF25" i="17"/>
  <c r="EH25" i="17"/>
  <c r="EL10" i="17"/>
  <c r="EL14" i="17"/>
  <c r="EL3" i="17"/>
  <c r="EL7" i="17"/>
  <c r="EL11" i="17"/>
  <c r="EL15" i="17"/>
  <c r="EL4" i="17"/>
  <c r="EL8" i="17"/>
  <c r="EL12" i="17"/>
  <c r="EL16" i="17"/>
  <c r="EL5" i="17"/>
  <c r="EL9" i="17"/>
  <c r="EL13" i="17"/>
  <c r="EL2" i="17"/>
  <c r="EL6" i="17"/>
  <c r="EG25" i="17"/>
  <c r="CX10" i="7"/>
  <c r="CX12" i="7"/>
  <c r="CX2" i="7"/>
  <c r="CX15" i="7"/>
  <c r="CX14" i="7"/>
  <c r="CX5" i="7"/>
  <c r="CX3" i="7"/>
  <c r="CX16" i="7"/>
  <c r="CX4" i="7"/>
  <c r="CX9" i="7"/>
  <c r="CX7" i="7"/>
  <c r="CX6" i="7"/>
  <c r="CX8" i="7"/>
  <c r="CX13" i="7"/>
  <c r="CX11" i="7"/>
  <c r="CY11" i="7"/>
  <c r="CY8" i="7"/>
  <c r="CY15" i="7"/>
  <c r="CY12" i="7"/>
  <c r="CY6" i="7"/>
  <c r="CY2" i="7"/>
  <c r="CY10" i="7"/>
  <c r="CY5" i="7"/>
  <c r="CY16" i="7"/>
  <c r="CY4" i="7"/>
  <c r="CY14" i="7"/>
  <c r="CY13" i="7"/>
  <c r="CY9" i="7"/>
  <c r="CY7" i="7"/>
  <c r="CY3" i="7"/>
  <c r="DE4" i="17"/>
  <c r="DE8" i="17"/>
  <c r="DE12" i="17"/>
  <c r="DE16" i="17"/>
  <c r="DE5" i="17"/>
  <c r="DE9" i="17"/>
  <c r="DE13" i="17"/>
  <c r="DE2" i="17"/>
  <c r="DE6" i="17"/>
  <c r="DE10" i="17"/>
  <c r="DE14" i="17"/>
  <c r="DE7" i="17"/>
  <c r="DE11" i="17"/>
  <c r="DE15" i="17"/>
  <c r="DE3" i="17"/>
  <c r="CL38" i="12"/>
  <c r="CL34" i="12"/>
  <c r="CD55" i="12" s="1"/>
  <c r="CK35" i="12"/>
  <c r="CJ36" i="12"/>
  <c r="CK38" i="12"/>
  <c r="CJ34" i="12"/>
  <c r="CL28" i="12" s="1"/>
  <c r="CJ35" i="12"/>
  <c r="CL35" i="12"/>
  <c r="CK36" i="12"/>
  <c r="CL36" i="12"/>
  <c r="CJ37" i="12"/>
  <c r="CK37" i="12"/>
  <c r="CL37" i="12"/>
  <c r="CJ38" i="12"/>
  <c r="CH85" i="12"/>
  <c r="CG86" i="12"/>
  <c r="CI88" i="12"/>
  <c r="CH86" i="12"/>
  <c r="CG89" i="12"/>
  <c r="CG85" i="12"/>
  <c r="CG91" i="12" s="1"/>
  <c r="CH87" i="12"/>
  <c r="CI87" i="12"/>
  <c r="CI89" i="12"/>
  <c r="CH89" i="12"/>
  <c r="CH88" i="12"/>
  <c r="CG88" i="12"/>
  <c r="CG87" i="12"/>
  <c r="CK87" i="12" s="1"/>
  <c r="CI86" i="12"/>
  <c r="CI85" i="12"/>
  <c r="CI91" i="12" s="1"/>
  <c r="CF25" i="12"/>
  <c r="CG25" i="12"/>
  <c r="CF26" i="12"/>
  <c r="CG27" i="12"/>
  <c r="CF29" i="12"/>
  <c r="CF27" i="12"/>
  <c r="CG26" i="12"/>
  <c r="CG29" i="12"/>
  <c r="CF28" i="12"/>
  <c r="CG28" i="12"/>
  <c r="CF21" i="12"/>
  <c r="CF20" i="12"/>
  <c r="CG22" i="12"/>
  <c r="CG19" i="12"/>
  <c r="CF22" i="12"/>
  <c r="CG21" i="12"/>
  <c r="CG18" i="12"/>
  <c r="CF19" i="12"/>
  <c r="CF18" i="12"/>
  <c r="CG20" i="12"/>
  <c r="DH20" i="16"/>
  <c r="DH21" i="16"/>
  <c r="DI23" i="16"/>
  <c r="DG21" i="16"/>
  <c r="DI19" i="16"/>
  <c r="DG22" i="16"/>
  <c r="AG6" i="20"/>
  <c r="AA7" i="20" s="1"/>
  <c r="AK5" i="20"/>
  <c r="DG19" i="16"/>
  <c r="DJ19" i="16"/>
  <c r="DJ23" i="16"/>
  <c r="DJ20" i="16"/>
  <c r="DJ21" i="16"/>
  <c r="DJ22" i="16"/>
  <c r="DG23" i="16"/>
  <c r="DH22" i="16"/>
  <c r="DI21" i="16"/>
  <c r="DG20" i="16"/>
  <c r="DH19" i="16"/>
  <c r="DH23" i="16"/>
  <c r="DI22" i="16"/>
  <c r="CJ4" i="16"/>
  <c r="CJ5" i="16"/>
  <c r="CJ6" i="16"/>
  <c r="CJ7" i="16"/>
  <c r="CJ8" i="16"/>
  <c r="CJ9" i="16"/>
  <c r="CJ10" i="16"/>
  <c r="CJ11" i="16"/>
  <c r="CJ12" i="16"/>
  <c r="CJ13" i="16"/>
  <c r="CJ14" i="16"/>
  <c r="CJ15" i="16"/>
  <c r="CJ16" i="16"/>
  <c r="CJ17" i="16"/>
  <c r="CJ3" i="16"/>
  <c r="CJ2" i="16"/>
  <c r="AI187" i="16"/>
  <c r="CI17" i="16" s="1"/>
  <c r="AH187" i="16"/>
  <c r="CH17" i="16" s="1"/>
  <c r="AG187" i="16"/>
  <c r="CG17" i="16" s="1"/>
  <c r="AI175" i="16"/>
  <c r="CI16" i="16" s="1"/>
  <c r="AH175" i="16"/>
  <c r="CH16" i="16" s="1"/>
  <c r="AG175" i="16"/>
  <c r="CG16" i="16" s="1"/>
  <c r="AI163" i="16"/>
  <c r="CI15" i="16" s="1"/>
  <c r="AH163" i="16"/>
  <c r="CH15" i="16" s="1"/>
  <c r="AG163" i="16"/>
  <c r="CG15" i="16" s="1"/>
  <c r="AI151" i="16"/>
  <c r="CI14" i="16" s="1"/>
  <c r="AH151" i="16"/>
  <c r="CH14" i="16" s="1"/>
  <c r="AG151" i="16"/>
  <c r="CG14" i="16" s="1"/>
  <c r="AI139" i="16"/>
  <c r="CI13" i="16" s="1"/>
  <c r="AH139" i="16"/>
  <c r="CH13" i="16" s="1"/>
  <c r="AG139" i="16"/>
  <c r="CG13" i="16" s="1"/>
  <c r="AI127" i="16"/>
  <c r="CI12" i="16" s="1"/>
  <c r="AH127" i="16"/>
  <c r="CH12" i="16" s="1"/>
  <c r="AG127" i="16"/>
  <c r="CG12" i="16" s="1"/>
  <c r="AI115" i="16"/>
  <c r="CI11" i="16" s="1"/>
  <c r="AH115" i="16"/>
  <c r="CH11" i="16" s="1"/>
  <c r="AG115" i="16"/>
  <c r="CG11" i="16" s="1"/>
  <c r="AI103" i="16"/>
  <c r="CI10" i="16" s="1"/>
  <c r="AH103" i="16"/>
  <c r="CH10" i="16" s="1"/>
  <c r="AG103" i="16"/>
  <c r="CG10" i="16" s="1"/>
  <c r="AI91" i="16"/>
  <c r="CI9" i="16" s="1"/>
  <c r="AH91" i="16"/>
  <c r="CH9" i="16" s="1"/>
  <c r="AG91" i="16"/>
  <c r="CG9" i="16" s="1"/>
  <c r="AI79" i="16"/>
  <c r="CI8" i="16" s="1"/>
  <c r="AH79" i="16"/>
  <c r="CH8" i="16" s="1"/>
  <c r="AG79" i="16"/>
  <c r="CG8" i="16" s="1"/>
  <c r="AI67" i="16"/>
  <c r="CI7" i="16" s="1"/>
  <c r="AH67" i="16"/>
  <c r="CH7" i="16" s="1"/>
  <c r="AG67" i="16"/>
  <c r="CG7" i="16" s="1"/>
  <c r="AI55" i="16"/>
  <c r="CI6" i="16" s="1"/>
  <c r="AH55" i="16"/>
  <c r="CH6" i="16" s="1"/>
  <c r="AG55" i="16"/>
  <c r="CG6" i="16" s="1"/>
  <c r="AI43" i="16"/>
  <c r="CI5" i="16" s="1"/>
  <c r="AH43" i="16"/>
  <c r="CH5" i="16" s="1"/>
  <c r="AG43" i="16"/>
  <c r="CG5" i="16" s="1"/>
  <c r="AI31" i="16"/>
  <c r="CI4" i="16" s="1"/>
  <c r="AH31" i="16"/>
  <c r="CH4" i="16" s="1"/>
  <c r="AG31" i="16"/>
  <c r="CG4" i="16" s="1"/>
  <c r="AI19" i="16"/>
  <c r="CI3" i="16" s="1"/>
  <c r="AI18" i="16"/>
  <c r="AH19" i="16"/>
  <c r="CH3" i="16" s="1"/>
  <c r="AG19" i="16"/>
  <c r="CG3" i="16" s="1"/>
  <c r="AG18" i="16"/>
  <c r="BY2" i="16"/>
  <c r="CL2" i="16" s="1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4" i="16"/>
  <c r="Q19" i="16"/>
  <c r="O19" i="16"/>
  <c r="O4" i="16"/>
  <c r="DS25" i="16" l="1"/>
  <c r="DT25" i="16"/>
  <c r="DY5" i="16"/>
  <c r="DY7" i="16"/>
  <c r="DY9" i="16"/>
  <c r="DY11" i="16"/>
  <c r="DY13" i="16"/>
  <c r="DY15" i="16"/>
  <c r="DY17" i="16"/>
  <c r="DY4" i="16"/>
  <c r="DY8" i="16"/>
  <c r="DY10" i="16"/>
  <c r="DY14" i="16"/>
  <c r="DY3" i="16"/>
  <c r="DY6" i="16"/>
  <c r="DY12" i="16"/>
  <c r="DY16" i="16"/>
  <c r="CH91" i="12"/>
  <c r="CL31" i="12"/>
  <c r="CD53" i="12"/>
  <c r="CL25" i="12"/>
  <c r="CD58" i="12"/>
  <c r="CD56" i="12"/>
  <c r="CD54" i="12"/>
  <c r="CD52" i="12"/>
  <c r="CL23" i="12"/>
  <c r="CD57" i="12"/>
  <c r="CD51" i="12"/>
  <c r="CL20" i="12"/>
  <c r="CL27" i="12"/>
  <c r="CD62" i="12"/>
  <c r="CD63" i="12"/>
  <c r="CD59" i="12"/>
  <c r="CL29" i="12"/>
  <c r="CL21" i="12"/>
  <c r="CD50" i="12"/>
  <c r="CD61" i="12"/>
  <c r="CD60" i="12"/>
  <c r="CL24" i="12"/>
  <c r="CL19" i="12"/>
  <c r="CL30" i="12"/>
  <c r="CL26" i="12"/>
  <c r="CL22" i="12"/>
  <c r="CL18" i="12"/>
  <c r="CL71" i="12"/>
  <c r="CL75" i="12"/>
  <c r="CL79" i="12"/>
  <c r="CL83" i="12"/>
  <c r="CL72" i="12"/>
  <c r="CL76" i="12"/>
  <c r="CL80" i="12"/>
  <c r="CL70" i="12"/>
  <c r="CL78" i="12"/>
  <c r="CL73" i="12"/>
  <c r="CL77" i="12"/>
  <c r="CL81" i="12"/>
  <c r="CL74" i="12"/>
  <c r="CL82" i="12"/>
  <c r="AY5" i="20"/>
  <c r="CK28" i="12"/>
  <c r="CK29" i="12"/>
  <c r="CK19" i="12"/>
  <c r="CK18" i="12"/>
  <c r="CK22" i="12"/>
  <c r="CK23" i="12"/>
  <c r="CK20" i="12"/>
  <c r="CK21" i="12"/>
  <c r="CK26" i="12"/>
  <c r="CK27" i="12"/>
  <c r="CK24" i="12"/>
  <c r="CK25" i="12"/>
  <c r="CK30" i="12"/>
  <c r="CK31" i="12"/>
  <c r="DL12" i="16"/>
  <c r="AG7" i="20"/>
  <c r="AA8" i="20" s="1"/>
  <c r="DL11" i="16"/>
  <c r="DL10" i="16"/>
  <c r="DL9" i="16"/>
  <c r="DL8" i="16"/>
  <c r="DL7" i="16"/>
  <c r="DL6" i="16"/>
  <c r="DL5" i="16"/>
  <c r="DL4" i="16"/>
  <c r="DL3" i="16"/>
  <c r="DL17" i="16"/>
  <c r="DL16" i="16"/>
  <c r="DL15" i="16"/>
  <c r="DL14" i="16"/>
  <c r="DL13" i="16"/>
  <c r="S20" i="16"/>
  <c r="T11" i="16"/>
  <c r="AK6" i="20" l="1"/>
  <c r="AG8" i="20"/>
  <c r="AA9" i="20" s="1"/>
  <c r="AK7" i="20"/>
  <c r="AY7" i="20" s="1"/>
  <c r="T5" i="16"/>
  <c r="T13" i="16"/>
  <c r="T8" i="16"/>
  <c r="T16" i="16"/>
  <c r="T9" i="16"/>
  <c r="T17" i="16"/>
  <c r="T18" i="16"/>
  <c r="T15" i="16"/>
  <c r="T6" i="16"/>
  <c r="T12" i="16"/>
  <c r="T19" i="16"/>
  <c r="T10" i="16"/>
  <c r="T4" i="16"/>
  <c r="T7" i="16"/>
  <c r="T14" i="16"/>
  <c r="AY6" i="20" l="1"/>
  <c r="AG9" i="20"/>
  <c r="AA10" i="20" s="1"/>
  <c r="AK8" i="20"/>
  <c r="AY8" i="20" s="1"/>
  <c r="AG10" i="20" l="1"/>
  <c r="AA11" i="20" s="1"/>
  <c r="AK9" i="20"/>
  <c r="Q5" i="12"/>
  <c r="AQ5" i="12" s="1"/>
  <c r="Q6" i="12"/>
  <c r="AQ6" i="12" s="1"/>
  <c r="Q7" i="12"/>
  <c r="AQ7" i="12" s="1"/>
  <c r="Q8" i="12"/>
  <c r="AQ8" i="12" s="1"/>
  <c r="Q9" i="12"/>
  <c r="AQ9" i="12" s="1"/>
  <c r="Q10" i="12"/>
  <c r="AQ10" i="12" s="1"/>
  <c r="Q11" i="12"/>
  <c r="AQ11" i="12" s="1"/>
  <c r="Q12" i="12"/>
  <c r="AQ12" i="12" s="1"/>
  <c r="Q13" i="12"/>
  <c r="AQ13" i="12" s="1"/>
  <c r="Q14" i="12"/>
  <c r="AQ14" i="12" s="1"/>
  <c r="Q15" i="12"/>
  <c r="AQ15" i="12" s="1"/>
  <c r="Q16" i="12"/>
  <c r="AQ16" i="12" s="1"/>
  <c r="Q17" i="12"/>
  <c r="Q18" i="12"/>
  <c r="Q4" i="12"/>
  <c r="AQ4" i="12" s="1"/>
  <c r="AP7" i="12"/>
  <c r="AP9" i="12"/>
  <c r="AP13" i="12"/>
  <c r="AP16" i="12"/>
  <c r="AO16" i="12"/>
  <c r="AP15" i="12"/>
  <c r="AO15" i="12"/>
  <c r="AP14" i="12"/>
  <c r="AO14" i="12"/>
  <c r="AO13" i="12"/>
  <c r="AP12" i="12"/>
  <c r="AO12" i="12"/>
  <c r="AP11" i="12"/>
  <c r="AO11" i="12"/>
  <c r="AP10" i="12"/>
  <c r="AO10" i="12"/>
  <c r="AO9" i="12"/>
  <c r="AP8" i="12"/>
  <c r="AO8" i="12"/>
  <c r="AO7" i="12"/>
  <c r="AP6" i="12"/>
  <c r="AO6" i="12"/>
  <c r="AP5" i="12"/>
  <c r="AO5" i="12"/>
  <c r="AP4" i="12"/>
  <c r="AO4" i="12"/>
  <c r="AP3" i="12"/>
  <c r="AO3" i="12"/>
  <c r="AP2" i="12"/>
  <c r="AO2" i="12"/>
  <c r="AZ24" i="12" l="1"/>
  <c r="AO49" i="12"/>
  <c r="AZ26" i="12"/>
  <c r="AO51" i="12"/>
  <c r="AX29" i="12"/>
  <c r="AN54" i="12"/>
  <c r="AZ31" i="12"/>
  <c r="AO56" i="12"/>
  <c r="AZ33" i="12"/>
  <c r="AO58" i="12"/>
  <c r="AX36" i="12"/>
  <c r="AN61" i="12"/>
  <c r="AZ34" i="12"/>
  <c r="AO59" i="12"/>
  <c r="AX23" i="12"/>
  <c r="AN48" i="12"/>
  <c r="AX25" i="12"/>
  <c r="AN50" i="12"/>
  <c r="AX27" i="12"/>
  <c r="AN52" i="12"/>
  <c r="AZ29" i="12"/>
  <c r="AO54" i="12"/>
  <c r="AX32" i="12"/>
  <c r="AN57" i="12"/>
  <c r="AX34" i="12"/>
  <c r="AN59" i="12"/>
  <c r="AZ36" i="12"/>
  <c r="AO61" i="12"/>
  <c r="AZ30" i="12"/>
  <c r="AO55" i="12"/>
  <c r="AZ23" i="12"/>
  <c r="AO48" i="12"/>
  <c r="AZ25" i="12"/>
  <c r="AO50" i="12"/>
  <c r="AZ27" i="12"/>
  <c r="AO52" i="12"/>
  <c r="AX30" i="12"/>
  <c r="AN55" i="12"/>
  <c r="AZ32" i="12"/>
  <c r="AO57" i="12"/>
  <c r="AX35" i="12"/>
  <c r="AN60" i="12"/>
  <c r="AX37" i="12"/>
  <c r="AN62" i="12"/>
  <c r="AZ28" i="12"/>
  <c r="AO53" i="12"/>
  <c r="AX24" i="12"/>
  <c r="AN49" i="12"/>
  <c r="AX26" i="12"/>
  <c r="AN51" i="12"/>
  <c r="AX28" i="12"/>
  <c r="AN53" i="12"/>
  <c r="AX31" i="12"/>
  <c r="AN56" i="12"/>
  <c r="AX33" i="12"/>
  <c r="AN58" i="12"/>
  <c r="AZ35" i="12"/>
  <c r="AO60" i="12"/>
  <c r="AZ37" i="12"/>
  <c r="AO62" i="12"/>
  <c r="AY9" i="20"/>
  <c r="AG11" i="20"/>
  <c r="AA12" i="20" s="1"/>
  <c r="AK10" i="20"/>
  <c r="AY10" i="20" s="1"/>
  <c r="AZ9" i="12" a="1"/>
  <c r="AV15" i="12" a="1"/>
  <c r="AV9" i="12" a="1"/>
  <c r="AS16" i="12"/>
  <c r="AT16" i="12"/>
  <c r="AR16" i="12"/>
  <c r="BD1" i="12"/>
  <c r="AT9" i="12"/>
  <c r="AT5" i="12"/>
  <c r="AT3" i="12"/>
  <c r="AS15" i="12"/>
  <c r="AT14" i="12"/>
  <c r="AT12" i="12"/>
  <c r="AS11" i="12"/>
  <c r="AT10" i="12"/>
  <c r="AT7" i="12"/>
  <c r="AS5" i="12"/>
  <c r="AT4" i="12"/>
  <c r="AS3" i="12"/>
  <c r="AS14" i="12"/>
  <c r="AS9" i="12"/>
  <c r="AT8" i="12"/>
  <c r="AS4" i="12"/>
  <c r="AT6" i="12"/>
  <c r="AT11" i="12"/>
  <c r="AT13" i="12"/>
  <c r="AT15" i="12"/>
  <c r="AS13" i="12"/>
  <c r="AS12" i="12"/>
  <c r="AS10" i="12"/>
  <c r="AS8" i="12"/>
  <c r="AS7" i="12"/>
  <c r="AS6" i="12"/>
  <c r="AR3" i="12"/>
  <c r="AR4" i="12"/>
  <c r="AR5" i="12"/>
  <c r="AR6" i="12"/>
  <c r="AR7" i="12"/>
  <c r="AR8" i="12"/>
  <c r="AR9" i="12"/>
  <c r="AR10" i="12"/>
  <c r="AR11" i="12"/>
  <c r="AR12" i="12"/>
  <c r="AR13" i="12"/>
  <c r="AR14" i="12"/>
  <c r="AR15" i="12"/>
  <c r="BB39" i="12" l="1" a="1"/>
  <c r="BB39" i="12" s="1"/>
  <c r="AX39" i="12" a="1"/>
  <c r="AY39" i="12" s="1"/>
  <c r="AS48" i="12"/>
  <c r="AY48" i="12" s="1"/>
  <c r="AZ48" i="12" s="1"/>
  <c r="AS49" i="12" s="1"/>
  <c r="AY49" i="12" s="1"/>
  <c r="AZ49" i="12" s="1"/>
  <c r="AS50" i="12" s="1"/>
  <c r="AY50" i="12" s="1"/>
  <c r="AZ50" i="12" s="1"/>
  <c r="AS51" i="12" s="1"/>
  <c r="AY51" i="12" s="1"/>
  <c r="AZ51" i="12" s="1"/>
  <c r="AS52" i="12" s="1"/>
  <c r="AY52" i="12" s="1"/>
  <c r="AZ52" i="12" s="1"/>
  <c r="AS53" i="12" s="1"/>
  <c r="AY53" i="12" s="1"/>
  <c r="AZ53" i="12" s="1"/>
  <c r="AS54" i="12" s="1"/>
  <c r="AY54" i="12" s="1"/>
  <c r="AZ54" i="12" s="1"/>
  <c r="AS55" i="12" s="1"/>
  <c r="AY55" i="12" s="1"/>
  <c r="AZ55" i="12" s="1"/>
  <c r="AS56" i="12" s="1"/>
  <c r="AY56" i="12" s="1"/>
  <c r="AZ56" i="12" s="1"/>
  <c r="AS57" i="12" s="1"/>
  <c r="AY57" i="12" s="1"/>
  <c r="AZ57" i="12" s="1"/>
  <c r="AS58" i="12" s="1"/>
  <c r="AY58" i="12" s="1"/>
  <c r="AZ58" i="12" s="1"/>
  <c r="AS59" i="12" s="1"/>
  <c r="AY59" i="12" s="1"/>
  <c r="AZ59" i="12" s="1"/>
  <c r="AS60" i="12" s="1"/>
  <c r="AY60" i="12" s="1"/>
  <c r="AZ60" i="12" s="1"/>
  <c r="AS61" i="12" s="1"/>
  <c r="AY61" i="12" s="1"/>
  <c r="AZ61" i="12" s="1"/>
  <c r="AS62" i="12" s="1"/>
  <c r="AY62" i="12" s="1"/>
  <c r="AZ62" i="12" s="1"/>
  <c r="AG12" i="20"/>
  <c r="AA13" i="20" s="1"/>
  <c r="AK11" i="20"/>
  <c r="AY11" i="20" s="1"/>
  <c r="AW15" i="12"/>
  <c r="AX16" i="12"/>
  <c r="AV18" i="12"/>
  <c r="AW19" i="12"/>
  <c r="AX15" i="12"/>
  <c r="AV17" i="12"/>
  <c r="AW18" i="12"/>
  <c r="AX19" i="12"/>
  <c r="AV16" i="12"/>
  <c r="AW17" i="12"/>
  <c r="AX18" i="12"/>
  <c r="AV15" i="12"/>
  <c r="AW16" i="12"/>
  <c r="AX17" i="12"/>
  <c r="AV19" i="12"/>
  <c r="BB9" i="12"/>
  <c r="BA11" i="12"/>
  <c r="AZ12" i="12"/>
  <c r="AZ10" i="12"/>
  <c r="AZ9" i="12"/>
  <c r="BA9" i="12"/>
  <c r="BB13" i="12"/>
  <c r="BB12" i="12"/>
  <c r="AZ13" i="12"/>
  <c r="BA13" i="12"/>
  <c r="BA12" i="12"/>
  <c r="BA10" i="12"/>
  <c r="BB10" i="12"/>
  <c r="BB11" i="12"/>
  <c r="AZ11" i="12"/>
  <c r="AV9" i="12"/>
  <c r="AW10" i="12"/>
  <c r="AX11" i="12"/>
  <c r="AV13" i="12"/>
  <c r="AW9" i="12"/>
  <c r="AX10" i="12"/>
  <c r="AV12" i="12"/>
  <c r="AW13" i="12"/>
  <c r="AX9" i="12"/>
  <c r="AV11" i="12"/>
  <c r="AW12" i="12"/>
  <c r="AX13" i="12"/>
  <c r="AV10" i="12"/>
  <c r="AW11" i="12"/>
  <c r="AX12" i="12"/>
  <c r="BI3" i="16"/>
  <c r="BN3" i="16" s="1"/>
  <c r="BO2" i="16"/>
  <c r="BL2" i="16"/>
  <c r="AX3" i="16"/>
  <c r="BS3" i="16" s="1"/>
  <c r="AX4" i="16"/>
  <c r="BS4" i="16" s="1"/>
  <c r="AX5" i="16"/>
  <c r="BS5" i="16" s="1"/>
  <c r="AX6" i="16"/>
  <c r="BS6" i="16" s="1"/>
  <c r="AX7" i="16"/>
  <c r="BS7" i="16" s="1"/>
  <c r="AX8" i="16"/>
  <c r="BS8" i="16" s="1"/>
  <c r="AX9" i="16"/>
  <c r="BS9" i="16" s="1"/>
  <c r="AX10" i="16"/>
  <c r="BS10" i="16" s="1"/>
  <c r="AX11" i="16"/>
  <c r="BS11" i="16" s="1"/>
  <c r="AX12" i="16"/>
  <c r="BS12" i="16" s="1"/>
  <c r="AX13" i="16"/>
  <c r="BS13" i="16" s="1"/>
  <c r="AX14" i="16"/>
  <c r="BS14" i="16" s="1"/>
  <c r="AX15" i="16"/>
  <c r="BS15" i="16" s="1"/>
  <c r="AX16" i="16"/>
  <c r="BS16" i="16" s="1"/>
  <c r="AX17" i="16"/>
  <c r="BS17" i="16" s="1"/>
  <c r="AY2" i="16"/>
  <c r="BT2" i="16" s="1"/>
  <c r="CG2" i="16" s="1"/>
  <c r="AZ2" i="16"/>
  <c r="BU2" i="16" s="1"/>
  <c r="CH2" i="16" s="1"/>
  <c r="BA2" i="16"/>
  <c r="BV2" i="16" s="1"/>
  <c r="CI2" i="16" s="1"/>
  <c r="AX2" i="16"/>
  <c r="BS2" i="16" s="1"/>
  <c r="CF2" i="16" s="1"/>
  <c r="AT4" i="16"/>
  <c r="AT5" i="16"/>
  <c r="AT6" i="16"/>
  <c r="AU6" i="16" s="1"/>
  <c r="AT7" i="16"/>
  <c r="AU7" i="16" s="1"/>
  <c r="AT8" i="16"/>
  <c r="AU8" i="16" s="1"/>
  <c r="AT9" i="16"/>
  <c r="AU9" i="16" s="1"/>
  <c r="AT10" i="16"/>
  <c r="AU10" i="16" s="1"/>
  <c r="AT11" i="16"/>
  <c r="AU11" i="16" s="1"/>
  <c r="AT12" i="16"/>
  <c r="AU12" i="16" s="1"/>
  <c r="AT13" i="16"/>
  <c r="AU13" i="16" s="1"/>
  <c r="AT14" i="16"/>
  <c r="AT15" i="16"/>
  <c r="AU15" i="16" s="1"/>
  <c r="AT16" i="16"/>
  <c r="AT17" i="16"/>
  <c r="AU17" i="16" s="1"/>
  <c r="AT3" i="16"/>
  <c r="AU3" i="16" s="1"/>
  <c r="AV3" i="16" s="1"/>
  <c r="AL39" i="16" a="1"/>
  <c r="AM39" i="16" s="1"/>
  <c r="AI186" i="16"/>
  <c r="AG186" i="16"/>
  <c r="AF186" i="16"/>
  <c r="AI174" i="16"/>
  <c r="AG174" i="16"/>
  <c r="AF174" i="16"/>
  <c r="AI162" i="16"/>
  <c r="AG162" i="16"/>
  <c r="AJ162" i="16" s="1"/>
  <c r="AF162" i="16"/>
  <c r="AI150" i="16"/>
  <c r="AG150" i="16"/>
  <c r="AJ150" i="16" s="1"/>
  <c r="AF150" i="16"/>
  <c r="AI138" i="16"/>
  <c r="AG138" i="16"/>
  <c r="AJ138" i="16" s="1"/>
  <c r="AF138" i="16"/>
  <c r="AI126" i="16"/>
  <c r="AG126" i="16"/>
  <c r="AJ126" i="16" s="1"/>
  <c r="AF126" i="16"/>
  <c r="AI114" i="16"/>
  <c r="AG114" i="16"/>
  <c r="AJ114" i="16" s="1"/>
  <c r="AF114" i="16"/>
  <c r="AI102" i="16"/>
  <c r="AG102" i="16"/>
  <c r="AJ102" i="16" s="1"/>
  <c r="AF102" i="16"/>
  <c r="AI90" i="16"/>
  <c r="AG90" i="16"/>
  <c r="AJ90" i="16" s="1"/>
  <c r="AF90" i="16"/>
  <c r="AI78" i="16"/>
  <c r="AG78" i="16"/>
  <c r="AJ78" i="16" s="1"/>
  <c r="AF78" i="16"/>
  <c r="AI66" i="16"/>
  <c r="AG66" i="16"/>
  <c r="AF66" i="16"/>
  <c r="AI54" i="16"/>
  <c r="AG54" i="16"/>
  <c r="AJ54" i="16" s="1"/>
  <c r="AF54" i="16"/>
  <c r="AI42" i="16"/>
  <c r="AG42" i="16"/>
  <c r="AJ42" i="16" s="1"/>
  <c r="AF42" i="16"/>
  <c r="AI30" i="16"/>
  <c r="AJ30" i="16"/>
  <c r="AF30" i="16"/>
  <c r="BC42" i="12" l="1"/>
  <c r="BB41" i="12"/>
  <c r="BG41" i="12" s="1"/>
  <c r="BE39" i="12"/>
  <c r="BE44" i="12" s="1"/>
  <c r="BB40" i="12"/>
  <c r="BB44" i="12" s="1"/>
  <c r="BD43" i="12"/>
  <c r="AX43" i="12"/>
  <c r="BC39" i="12"/>
  <c r="BE42" i="12"/>
  <c r="AY42" i="12"/>
  <c r="BB43" i="12"/>
  <c r="BE41" i="12"/>
  <c r="BD40" i="12"/>
  <c r="AX39" i="12"/>
  <c r="AY43" i="12"/>
  <c r="BD41" i="12"/>
  <c r="BC43" i="12"/>
  <c r="BC40" i="12"/>
  <c r="BB42" i="12"/>
  <c r="BE43" i="12"/>
  <c r="AZ42" i="12"/>
  <c r="AX42" i="12"/>
  <c r="BE40" i="12"/>
  <c r="BD42" i="12"/>
  <c r="BD39" i="12"/>
  <c r="BE27" i="12" s="1"/>
  <c r="BC41" i="12"/>
  <c r="AZ43" i="12"/>
  <c r="AZ41" i="12"/>
  <c r="AY41" i="12"/>
  <c r="AX41" i="12"/>
  <c r="AZ40" i="12"/>
  <c r="AY40" i="12"/>
  <c r="AX40" i="12"/>
  <c r="AZ39" i="12"/>
  <c r="BD33" i="12" s="1"/>
  <c r="BC3" i="16"/>
  <c r="BC15" i="16"/>
  <c r="AG13" i="20"/>
  <c r="AA14" i="20" s="1"/>
  <c r="AK12" i="20"/>
  <c r="AY12" i="20" s="1"/>
  <c r="AO23" i="12"/>
  <c r="AO26" i="12"/>
  <c r="AO20" i="12"/>
  <c r="AO22" i="12"/>
  <c r="AO21" i="12"/>
  <c r="AO28" i="12"/>
  <c r="AO29" i="12"/>
  <c r="AO24" i="12"/>
  <c r="AO25" i="12"/>
  <c r="AO27" i="12"/>
  <c r="BC13" i="16"/>
  <c r="BC17" i="16"/>
  <c r="AU5" i="16"/>
  <c r="AV5" i="16" s="1"/>
  <c r="BD5" i="16" s="1"/>
  <c r="CF16" i="16"/>
  <c r="CK16" i="16"/>
  <c r="BX16" i="16"/>
  <c r="CF12" i="16"/>
  <c r="CK12" i="16"/>
  <c r="BX12" i="16"/>
  <c r="CK9" i="16"/>
  <c r="BX9" i="16"/>
  <c r="CF9" i="16"/>
  <c r="BX5" i="16"/>
  <c r="CK5" i="16"/>
  <c r="CF5" i="16"/>
  <c r="BJ2" i="16"/>
  <c r="BI14" i="16"/>
  <c r="BN14" i="16" s="1"/>
  <c r="BI11" i="16"/>
  <c r="BN11" i="16" s="1"/>
  <c r="BI7" i="16"/>
  <c r="BN7" i="16" s="1"/>
  <c r="BC11" i="16"/>
  <c r="BC7" i="16"/>
  <c r="AU16" i="16"/>
  <c r="AV16" i="16" s="1"/>
  <c r="BD16" i="16" s="1"/>
  <c r="AU4" i="16"/>
  <c r="AV4" i="16" s="1"/>
  <c r="BD4" i="16" s="1"/>
  <c r="CK15" i="16"/>
  <c r="CF15" i="16"/>
  <c r="BX15" i="16"/>
  <c r="CF8" i="16"/>
  <c r="CK8" i="16"/>
  <c r="BX8" i="16"/>
  <c r="CK4" i="16"/>
  <c r="CF4" i="16"/>
  <c r="BX4" i="16"/>
  <c r="BK2" i="16"/>
  <c r="BI17" i="16"/>
  <c r="BN17" i="16" s="1"/>
  <c r="BI13" i="16"/>
  <c r="BN13" i="16" s="1"/>
  <c r="BI10" i="16"/>
  <c r="BN10" i="16" s="1"/>
  <c r="BI6" i="16"/>
  <c r="BN6" i="16" s="1"/>
  <c r="BC2" i="16"/>
  <c r="BC14" i="16"/>
  <c r="BC10" i="16"/>
  <c r="BC6" i="16"/>
  <c r="BX14" i="16"/>
  <c r="CK14" i="16"/>
  <c r="CF14" i="16"/>
  <c r="CK11" i="16"/>
  <c r="CF11" i="16"/>
  <c r="BX11" i="16"/>
  <c r="CK7" i="16"/>
  <c r="CF7" i="16"/>
  <c r="BX7" i="16"/>
  <c r="CF3" i="16"/>
  <c r="BX3" i="16"/>
  <c r="CK3" i="16"/>
  <c r="BI16" i="16"/>
  <c r="BN16" i="16" s="1"/>
  <c r="BI12" i="16"/>
  <c r="BN12" i="16" s="1"/>
  <c r="BI9" i="16"/>
  <c r="BN9" i="16" s="1"/>
  <c r="BI5" i="16"/>
  <c r="BN5" i="16" s="1"/>
  <c r="BC9" i="16"/>
  <c r="BC5" i="16"/>
  <c r="AJ174" i="16"/>
  <c r="AJ186" i="16"/>
  <c r="AU14" i="16"/>
  <c r="AV14" i="16" s="1"/>
  <c r="BD14" i="16" s="1"/>
  <c r="CK17" i="16"/>
  <c r="BX17" i="16"/>
  <c r="CF17" i="16"/>
  <c r="CK13" i="16"/>
  <c r="BX13" i="16"/>
  <c r="CF13" i="16"/>
  <c r="BX10" i="16"/>
  <c r="CK10" i="16"/>
  <c r="CF10" i="16"/>
  <c r="BX6" i="16"/>
  <c r="CK6" i="16"/>
  <c r="CF6" i="16"/>
  <c r="BI2" i="16"/>
  <c r="BN2" i="16" s="1"/>
  <c r="BM2" i="16"/>
  <c r="BI15" i="16"/>
  <c r="BN15" i="16" s="1"/>
  <c r="BI8" i="16"/>
  <c r="BN8" i="16" s="1"/>
  <c r="BI4" i="16"/>
  <c r="BN4" i="16" s="1"/>
  <c r="BC16" i="16"/>
  <c r="BC12" i="16"/>
  <c r="BC8" i="16"/>
  <c r="BC4" i="16"/>
  <c r="AJ66" i="16"/>
  <c r="AM7" i="16"/>
  <c r="AY7" i="16" s="1"/>
  <c r="BD3" i="16"/>
  <c r="BY3" i="16" s="1"/>
  <c r="CL3" i="16" s="1"/>
  <c r="AL43" i="16"/>
  <c r="AL39" i="16"/>
  <c r="AM42" i="16"/>
  <c r="AM40" i="16"/>
  <c r="AL41" i="16"/>
  <c r="AL42" i="16"/>
  <c r="AL40" i="16"/>
  <c r="AM43" i="16"/>
  <c r="AM41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BC44" i="12" l="1"/>
  <c r="BD31" i="12"/>
  <c r="BD55" i="12"/>
  <c r="BE29" i="12"/>
  <c r="BD61" i="12"/>
  <c r="BE26" i="12"/>
  <c r="BD47" i="12"/>
  <c r="BE28" i="12"/>
  <c r="BD48" i="12"/>
  <c r="BD50" i="12"/>
  <c r="BD44" i="12"/>
  <c r="BE24" i="12"/>
  <c r="BD57" i="12"/>
  <c r="BD58" i="12"/>
  <c r="BE31" i="12"/>
  <c r="BE34" i="12"/>
  <c r="BE37" i="12"/>
  <c r="BD49" i="12"/>
  <c r="BD59" i="12"/>
  <c r="BD54" i="12"/>
  <c r="BE35" i="12"/>
  <c r="BE32" i="12"/>
  <c r="BE25" i="12"/>
  <c r="BD56" i="12"/>
  <c r="BD60" i="12"/>
  <c r="BD30" i="12"/>
  <c r="BE36" i="12"/>
  <c r="BE30" i="12"/>
  <c r="BE23" i="12"/>
  <c r="BE33" i="12"/>
  <c r="BD53" i="12"/>
  <c r="BD52" i="12"/>
  <c r="BD51" i="12"/>
  <c r="BD29" i="12"/>
  <c r="BD32" i="12"/>
  <c r="BD28" i="12"/>
  <c r="BD27" i="12"/>
  <c r="BD26" i="12"/>
  <c r="BD25" i="12"/>
  <c r="BD24" i="12"/>
  <c r="BD23" i="12"/>
  <c r="BD37" i="12"/>
  <c r="BD36" i="12"/>
  <c r="BD35" i="12"/>
  <c r="BD34" i="12"/>
  <c r="AG14" i="20"/>
  <c r="AA15" i="20" s="1"/>
  <c r="AK13" i="20"/>
  <c r="BY4" i="16"/>
  <c r="CL4" i="16" s="1"/>
  <c r="BO4" i="16"/>
  <c r="BB5" i="16"/>
  <c r="BL5" i="16" s="1"/>
  <c r="BY5" i="16"/>
  <c r="CL5" i="16" s="1"/>
  <c r="BB6" i="16"/>
  <c r="BL6" i="16" s="1"/>
  <c r="BO5" i="16"/>
  <c r="BY14" i="16"/>
  <c r="CL14" i="16" s="1"/>
  <c r="BO14" i="16"/>
  <c r="BB15" i="16"/>
  <c r="BL15" i="16" s="1"/>
  <c r="BY16" i="16"/>
  <c r="CL16" i="16" s="1"/>
  <c r="BB17" i="16"/>
  <c r="BL17" i="16" s="1"/>
  <c r="BO16" i="16"/>
  <c r="BJ7" i="16"/>
  <c r="BT7" i="16"/>
  <c r="BO3" i="16"/>
  <c r="BB4" i="16"/>
  <c r="BL4" i="16" s="1"/>
  <c r="AV8" i="16"/>
  <c r="BD8" i="16" s="1"/>
  <c r="BY8" i="16" s="1"/>
  <c r="CL8" i="16" s="1"/>
  <c r="AV12" i="16"/>
  <c r="BD12" i="16" s="1"/>
  <c r="BY12" i="16" s="1"/>
  <c r="CL12" i="16" s="1"/>
  <c r="AV9" i="16"/>
  <c r="BD9" i="16" s="1"/>
  <c r="BY9" i="16" s="1"/>
  <c r="CL9" i="16" s="1"/>
  <c r="AV13" i="16"/>
  <c r="BD13" i="16" s="1"/>
  <c r="BY13" i="16" s="1"/>
  <c r="CL13" i="16" s="1"/>
  <c r="AV17" i="16"/>
  <c r="AV6" i="16"/>
  <c r="BD6" i="16" s="1"/>
  <c r="BY6" i="16" s="1"/>
  <c r="CL6" i="16" s="1"/>
  <c r="AV10" i="16"/>
  <c r="BD10" i="16" s="1"/>
  <c r="BY10" i="16" s="1"/>
  <c r="CL10" i="16" s="1"/>
  <c r="AV7" i="16"/>
  <c r="BD7" i="16" s="1"/>
  <c r="BY7" i="16" s="1"/>
  <c r="CL7" i="16" s="1"/>
  <c r="AV11" i="16"/>
  <c r="BD11" i="16" s="1"/>
  <c r="BY11" i="16" s="1"/>
  <c r="CL11" i="16" s="1"/>
  <c r="AV15" i="16"/>
  <c r="BD15" i="16" s="1"/>
  <c r="BY15" i="16" s="1"/>
  <c r="CL15" i="16" s="1"/>
  <c r="AT21" i="16"/>
  <c r="AT22" i="16"/>
  <c r="AT23" i="16"/>
  <c r="AT24" i="16"/>
  <c r="AT25" i="16"/>
  <c r="AT26" i="16"/>
  <c r="AT27" i="16"/>
  <c r="AT28" i="16"/>
  <c r="AT29" i="16"/>
  <c r="AT30" i="16"/>
  <c r="AT31" i="16"/>
  <c r="AT32" i="16"/>
  <c r="AT33" i="16"/>
  <c r="AT34" i="16"/>
  <c r="AT20" i="16"/>
  <c r="AY13" i="20" l="1"/>
  <c r="AR20" i="20" a="1"/>
  <c r="AG15" i="20"/>
  <c r="AA16" i="20" s="1"/>
  <c r="AK14" i="20"/>
  <c r="AY14" i="20" s="1"/>
  <c r="BD17" i="16"/>
  <c r="BY17" i="16" s="1"/>
  <c r="CL17" i="16" s="1"/>
  <c r="CG19" i="16" s="1" a="1"/>
  <c r="BO15" i="16"/>
  <c r="BB16" i="16"/>
  <c r="BL16" i="16" s="1"/>
  <c r="BO6" i="16"/>
  <c r="BB7" i="16"/>
  <c r="BL7" i="16" s="1"/>
  <c r="BB13" i="16"/>
  <c r="BL13" i="16" s="1"/>
  <c r="BO12" i="16"/>
  <c r="BO11" i="16"/>
  <c r="BB12" i="16"/>
  <c r="BL12" i="16" s="1"/>
  <c r="BB9" i="16"/>
  <c r="BL9" i="16" s="1"/>
  <c r="BO8" i="16"/>
  <c r="BB8" i="16"/>
  <c r="BL8" i="16" s="1"/>
  <c r="BO7" i="16"/>
  <c r="BO13" i="16"/>
  <c r="BB14" i="16"/>
  <c r="BL14" i="16" s="1"/>
  <c r="BO10" i="16"/>
  <c r="BB11" i="16"/>
  <c r="BL11" i="16" s="1"/>
  <c r="BO9" i="16"/>
  <c r="BB10" i="16"/>
  <c r="BL10" i="16" s="1"/>
  <c r="AT36" i="16" a="1"/>
  <c r="AR10" i="16"/>
  <c r="AR11" i="16"/>
  <c r="AR12" i="16"/>
  <c r="AR13" i="16"/>
  <c r="AR14" i="16"/>
  <c r="AR15" i="16"/>
  <c r="AR16" i="16"/>
  <c r="AR17" i="16"/>
  <c r="AR4" i="16"/>
  <c r="AR5" i="16"/>
  <c r="AR6" i="16"/>
  <c r="AR7" i="16"/>
  <c r="AR8" i="16"/>
  <c r="AR9" i="16"/>
  <c r="AR3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AN3" i="16"/>
  <c r="AZ3" i="16" s="1"/>
  <c r="AO3" i="16"/>
  <c r="BA3" i="16" s="1"/>
  <c r="AN4" i="16"/>
  <c r="AZ4" i="16" s="1"/>
  <c r="AO4" i="16"/>
  <c r="BA4" i="16" s="1"/>
  <c r="AP4" i="16"/>
  <c r="AN5" i="16"/>
  <c r="AZ5" i="16" s="1"/>
  <c r="AO5" i="16"/>
  <c r="BA5" i="16" s="1"/>
  <c r="AP5" i="16"/>
  <c r="AN6" i="16"/>
  <c r="AZ6" i="16" s="1"/>
  <c r="AO6" i="16"/>
  <c r="BA6" i="16" s="1"/>
  <c r="AP6" i="16"/>
  <c r="AN7" i="16"/>
  <c r="AZ7" i="16" s="1"/>
  <c r="AO7" i="16"/>
  <c r="BA7" i="16" s="1"/>
  <c r="AP7" i="16"/>
  <c r="AN8" i="16"/>
  <c r="AZ8" i="16" s="1"/>
  <c r="AO8" i="16"/>
  <c r="BA8" i="16" s="1"/>
  <c r="AP8" i="16"/>
  <c r="AN9" i="16"/>
  <c r="AZ9" i="16" s="1"/>
  <c r="AO9" i="16"/>
  <c r="BA9" i="16" s="1"/>
  <c r="AP9" i="16"/>
  <c r="AN10" i="16"/>
  <c r="AZ10" i="16" s="1"/>
  <c r="AO10" i="16"/>
  <c r="BA10" i="16" s="1"/>
  <c r="AP10" i="16"/>
  <c r="AN11" i="16"/>
  <c r="AZ11" i="16" s="1"/>
  <c r="AO11" i="16"/>
  <c r="BA11" i="16" s="1"/>
  <c r="AP11" i="16"/>
  <c r="AN12" i="16"/>
  <c r="AZ12" i="16" s="1"/>
  <c r="AO12" i="16"/>
  <c r="BA12" i="16" s="1"/>
  <c r="AP12" i="16"/>
  <c r="AN13" i="16"/>
  <c r="AZ13" i="16" s="1"/>
  <c r="AO13" i="16"/>
  <c r="BA13" i="16" s="1"/>
  <c r="AP13" i="16"/>
  <c r="AN14" i="16"/>
  <c r="AZ14" i="16" s="1"/>
  <c r="AO14" i="16"/>
  <c r="BA14" i="16" s="1"/>
  <c r="AP14" i="16"/>
  <c r="AN15" i="16"/>
  <c r="AZ15" i="16" s="1"/>
  <c r="AO15" i="16"/>
  <c r="BA15" i="16" s="1"/>
  <c r="AP15" i="16"/>
  <c r="AN16" i="16"/>
  <c r="AZ16" i="16" s="1"/>
  <c r="AO16" i="16"/>
  <c r="BA16" i="16" s="1"/>
  <c r="AP16" i="16"/>
  <c r="AN17" i="16"/>
  <c r="AZ17" i="16" s="1"/>
  <c r="AO17" i="16"/>
  <c r="BA17" i="16" s="1"/>
  <c r="AP17" i="16"/>
  <c r="AM17" i="16"/>
  <c r="AY17" i="16" s="1"/>
  <c r="AM16" i="16"/>
  <c r="AY16" i="16" s="1"/>
  <c r="AM15" i="16"/>
  <c r="AY15" i="16" s="1"/>
  <c r="AM14" i="16"/>
  <c r="AY14" i="16" s="1"/>
  <c r="AM13" i="16"/>
  <c r="AY13" i="16" s="1"/>
  <c r="AM12" i="16"/>
  <c r="AY12" i="16" s="1"/>
  <c r="AM11" i="16"/>
  <c r="AY11" i="16" s="1"/>
  <c r="AM10" i="16"/>
  <c r="AY10" i="16" s="1"/>
  <c r="AM9" i="16"/>
  <c r="AY9" i="16" s="1"/>
  <c r="AM8" i="16"/>
  <c r="AY8" i="16" s="1"/>
  <c r="AM6" i="16"/>
  <c r="AY6" i="16" s="1"/>
  <c r="AM5" i="16"/>
  <c r="AY5" i="16" s="1"/>
  <c r="AM4" i="16"/>
  <c r="AY4" i="16" s="1"/>
  <c r="AM3" i="16"/>
  <c r="AY3" i="16" s="1"/>
  <c r="AS21" i="20" l="1"/>
  <c r="AS23" i="20"/>
  <c r="AR20" i="20"/>
  <c r="AR22" i="20"/>
  <c r="AR24" i="20"/>
  <c r="AS20" i="20"/>
  <c r="AS22" i="20"/>
  <c r="AS24" i="20"/>
  <c r="AR21" i="20"/>
  <c r="AR23" i="20"/>
  <c r="CI22" i="16"/>
  <c r="CG22" i="16"/>
  <c r="CK19" i="16" a="1"/>
  <c r="CK21" i="16" s="1"/>
  <c r="CI21" i="16"/>
  <c r="AG16" i="20"/>
  <c r="AA17" i="20" s="1"/>
  <c r="AK15" i="20"/>
  <c r="AY15" i="20" s="1"/>
  <c r="CH21" i="16"/>
  <c r="CH22" i="16"/>
  <c r="CG21" i="16"/>
  <c r="CI20" i="16"/>
  <c r="CH20" i="16"/>
  <c r="CG20" i="16"/>
  <c r="CI19" i="16"/>
  <c r="CH19" i="16"/>
  <c r="CG19" i="16"/>
  <c r="BT11" i="16"/>
  <c r="BJ11" i="16"/>
  <c r="O20" i="16"/>
  <c r="CI23" i="16"/>
  <c r="CH23" i="16"/>
  <c r="CG23" i="16"/>
  <c r="BO17" i="16"/>
  <c r="BT6" i="16"/>
  <c r="BJ6" i="16"/>
  <c r="BT15" i="16"/>
  <c r="BJ15" i="16"/>
  <c r="BV17" i="16"/>
  <c r="BM17" i="16"/>
  <c r="BU16" i="16"/>
  <c r="BK16" i="16"/>
  <c r="BV13" i="16"/>
  <c r="BM13" i="16"/>
  <c r="BU12" i="16"/>
  <c r="BK12" i="16"/>
  <c r="BV9" i="16"/>
  <c r="BM9" i="16"/>
  <c r="BU8" i="16"/>
  <c r="BK8" i="16"/>
  <c r="BV5" i="16"/>
  <c r="BM5" i="16"/>
  <c r="BU4" i="16"/>
  <c r="BK4" i="16"/>
  <c r="BT8" i="16"/>
  <c r="BJ8" i="16"/>
  <c r="BT12" i="16"/>
  <c r="BJ12" i="16"/>
  <c r="BT16" i="16"/>
  <c r="BJ16" i="16"/>
  <c r="BU17" i="16"/>
  <c r="BK17" i="16"/>
  <c r="BV14" i="16"/>
  <c r="BM14" i="16"/>
  <c r="BU13" i="16"/>
  <c r="BK13" i="16"/>
  <c r="BV10" i="16"/>
  <c r="BM10" i="16"/>
  <c r="BU9" i="16"/>
  <c r="BK9" i="16"/>
  <c r="BV6" i="16"/>
  <c r="BM6" i="16"/>
  <c r="BU5" i="16"/>
  <c r="BK5" i="16"/>
  <c r="BT4" i="16"/>
  <c r="BJ4" i="16"/>
  <c r="BT9" i="16"/>
  <c r="BJ9" i="16"/>
  <c r="BT13" i="16"/>
  <c r="BJ13" i="16"/>
  <c r="BT17" i="16"/>
  <c r="BJ17" i="16"/>
  <c r="BV15" i="16"/>
  <c r="BM15" i="16"/>
  <c r="BU14" i="16"/>
  <c r="BK14" i="16"/>
  <c r="BV11" i="16"/>
  <c r="BM11" i="16"/>
  <c r="BU10" i="16"/>
  <c r="BK10" i="16"/>
  <c r="BV7" i="16"/>
  <c r="BM7" i="16"/>
  <c r="BU6" i="16"/>
  <c r="BK6" i="16"/>
  <c r="BU3" i="16"/>
  <c r="BK3" i="16"/>
  <c r="BT5" i="16"/>
  <c r="BJ5" i="16"/>
  <c r="BT10" i="16"/>
  <c r="BJ10" i="16"/>
  <c r="BT14" i="16"/>
  <c r="BJ14" i="16"/>
  <c r="BV16" i="16"/>
  <c r="BM16" i="16"/>
  <c r="BU15" i="16"/>
  <c r="BK15" i="16"/>
  <c r="BV12" i="16"/>
  <c r="BM12" i="16"/>
  <c r="BU11" i="16"/>
  <c r="BK11" i="16"/>
  <c r="BV8" i="16"/>
  <c r="BM8" i="16"/>
  <c r="BU7" i="16"/>
  <c r="BK7" i="16"/>
  <c r="BV4" i="16"/>
  <c r="BM4" i="16"/>
  <c r="BV3" i="16"/>
  <c r="BM3" i="16"/>
  <c r="AY19" i="16" a="1"/>
  <c r="AY19" i="16" s="1"/>
  <c r="BJ3" i="16"/>
  <c r="BT3" i="16"/>
  <c r="AU36" i="16"/>
  <c r="AV40" i="16"/>
  <c r="AU37" i="16"/>
  <c r="AU40" i="16"/>
  <c r="AT36" i="16"/>
  <c r="AT37" i="16"/>
  <c r="AU39" i="16"/>
  <c r="AT39" i="16"/>
  <c r="AV39" i="16"/>
  <c r="AU38" i="16"/>
  <c r="AT38" i="16"/>
  <c r="AV37" i="16"/>
  <c r="AV38" i="16"/>
  <c r="AT40" i="16"/>
  <c r="AV36" i="16"/>
  <c r="AF18" i="16"/>
  <c r="AQ6" i="20" l="1"/>
  <c r="AQ8" i="20"/>
  <c r="AQ10" i="20"/>
  <c r="AQ12" i="20"/>
  <c r="AQ14" i="20"/>
  <c r="AQ5" i="20"/>
  <c r="AQ7" i="20"/>
  <c r="AQ9" i="20"/>
  <c r="AQ11" i="20"/>
  <c r="AQ13" i="20"/>
  <c r="AQ15" i="20"/>
  <c r="AQ4" i="20"/>
  <c r="CL23" i="16"/>
  <c r="CL21" i="16"/>
  <c r="CM19" i="16"/>
  <c r="CL19" i="16"/>
  <c r="CM20" i="16"/>
  <c r="CK23" i="16"/>
  <c r="CL20" i="16"/>
  <c r="CL22" i="16"/>
  <c r="CM23" i="16"/>
  <c r="CM22" i="16"/>
  <c r="CN19" i="16"/>
  <c r="CM21" i="16"/>
  <c r="CN22" i="16"/>
  <c r="CK20" i="16"/>
  <c r="CN21" i="16"/>
  <c r="CK22" i="16"/>
  <c r="CN23" i="16"/>
  <c r="CK19" i="16"/>
  <c r="CN20" i="16"/>
  <c r="AG17" i="20"/>
  <c r="AA18" i="20" s="1"/>
  <c r="AK16" i="20"/>
  <c r="AY16" i="20" s="1"/>
  <c r="BJ25" i="16" a="1"/>
  <c r="BL27" i="16" s="1"/>
  <c r="BJ19" i="16" a="1"/>
  <c r="BN23" i="16" s="1"/>
  <c r="BT19" i="16" a="1"/>
  <c r="BW22" i="16" s="1"/>
  <c r="AY20" i="16"/>
  <c r="AZ20" i="16"/>
  <c r="BB23" i="16"/>
  <c r="BA23" i="16"/>
  <c r="AY21" i="16"/>
  <c r="BB21" i="16"/>
  <c r="BA22" i="16"/>
  <c r="AZ19" i="16"/>
  <c r="BB19" i="16"/>
  <c r="BA21" i="16"/>
  <c r="AY23" i="16"/>
  <c r="BB20" i="16"/>
  <c r="BA20" i="16"/>
  <c r="AZ21" i="16"/>
  <c r="AY22" i="16"/>
  <c r="AZ22" i="16"/>
  <c r="AZ23" i="16"/>
  <c r="BA19" i="16"/>
  <c r="BB22" i="16"/>
  <c r="AJ18" i="16"/>
  <c r="AP3" i="16" s="1"/>
  <c r="AY20" i="20" l="1" a="1"/>
  <c r="BA21" i="20" s="1"/>
  <c r="BH20" i="20" a="1"/>
  <c r="AQ16" i="20"/>
  <c r="BU23" i="16"/>
  <c r="BN21" i="16"/>
  <c r="BM23" i="16"/>
  <c r="BM19" i="16"/>
  <c r="AG18" i="20"/>
  <c r="AA19" i="20" s="1"/>
  <c r="AK17" i="20"/>
  <c r="BK21" i="16"/>
  <c r="BJ22" i="16"/>
  <c r="BJ20" i="16"/>
  <c r="BK22" i="16"/>
  <c r="BM20" i="16"/>
  <c r="BL23" i="16"/>
  <c r="BK20" i="16"/>
  <c r="BL21" i="16"/>
  <c r="BM21" i="16"/>
  <c r="BM22" i="16"/>
  <c r="BJ28" i="16"/>
  <c r="BL29" i="16"/>
  <c r="BM29" i="16"/>
  <c r="BL28" i="16"/>
  <c r="BM26" i="16"/>
  <c r="BV21" i="16"/>
  <c r="BM28" i="16"/>
  <c r="BK25" i="16"/>
  <c r="BJ26" i="16"/>
  <c r="BJ25" i="16"/>
  <c r="BK28" i="16"/>
  <c r="BV23" i="16"/>
  <c r="BU19" i="16"/>
  <c r="BU25" i="16" s="1"/>
  <c r="BE14" i="16"/>
  <c r="BM27" i="16"/>
  <c r="BK29" i="16"/>
  <c r="BL25" i="16"/>
  <c r="BM25" i="16"/>
  <c r="BL26" i="16"/>
  <c r="BK27" i="16"/>
  <c r="BK26" i="16"/>
  <c r="BJ29" i="16"/>
  <c r="BJ27" i="16"/>
  <c r="BV20" i="16"/>
  <c r="BV22" i="16"/>
  <c r="BW19" i="16"/>
  <c r="BW25" i="16" s="1"/>
  <c r="BT19" i="16"/>
  <c r="BT23" i="16"/>
  <c r="BT21" i="16"/>
  <c r="BY21" i="16" s="1"/>
  <c r="BN20" i="16"/>
  <c r="BJ23" i="16"/>
  <c r="BK19" i="16"/>
  <c r="BJ21" i="16"/>
  <c r="BL22" i="16"/>
  <c r="BJ19" i="16"/>
  <c r="BT20" i="16"/>
  <c r="BT22" i="16"/>
  <c r="BW21" i="16"/>
  <c r="BU20" i="16"/>
  <c r="BW23" i="16"/>
  <c r="BE3" i="16"/>
  <c r="BN22" i="16"/>
  <c r="BL19" i="16"/>
  <c r="BL20" i="16"/>
  <c r="BK23" i="16"/>
  <c r="BN19" i="16"/>
  <c r="BV19" i="16"/>
  <c r="BU21" i="16"/>
  <c r="BW20" i="16"/>
  <c r="BU22" i="16"/>
  <c r="BE9" i="16"/>
  <c r="BE12" i="16"/>
  <c r="BE5" i="16"/>
  <c r="BE13" i="16"/>
  <c r="BE16" i="16"/>
  <c r="BE4" i="16"/>
  <c r="BE17" i="16"/>
  <c r="BE8" i="16"/>
  <c r="BE10" i="16"/>
  <c r="BE11" i="16"/>
  <c r="BE6" i="16"/>
  <c r="BE15" i="16"/>
  <c r="BE7" i="16"/>
  <c r="BV25" i="16" l="1"/>
  <c r="BT25" i="16"/>
  <c r="AZ21" i="20"/>
  <c r="BA22" i="20"/>
  <c r="AY24" i="20"/>
  <c r="AY23" i="20"/>
  <c r="AZ24" i="20"/>
  <c r="AY22" i="20"/>
  <c r="AZ23" i="20"/>
  <c r="AY21" i="20"/>
  <c r="AZ22" i="20"/>
  <c r="BA23" i="20"/>
  <c r="AY20" i="20"/>
  <c r="BK24" i="20"/>
  <c r="BH24" i="20"/>
  <c r="BI23" i="20"/>
  <c r="BJ22" i="20"/>
  <c r="BK20" i="20"/>
  <c r="BH21" i="20"/>
  <c r="BI20" i="20"/>
  <c r="BI24" i="20"/>
  <c r="BJ23" i="20"/>
  <c r="BK21" i="20"/>
  <c r="BH22" i="20"/>
  <c r="BI21" i="20"/>
  <c r="BJ20" i="20"/>
  <c r="BJ24" i="20"/>
  <c r="BK22" i="20"/>
  <c r="BH23" i="20"/>
  <c r="BI22" i="20"/>
  <c r="BJ21" i="20"/>
  <c r="BH20" i="20"/>
  <c r="BK23" i="20"/>
  <c r="BA20" i="20"/>
  <c r="BA24" i="20"/>
  <c r="AZ20" i="20"/>
  <c r="AO20" i="20" a="1"/>
  <c r="AO22" i="20" s="1"/>
  <c r="AY17" i="20"/>
  <c r="AQ17" i="20"/>
  <c r="BZ17" i="16"/>
  <c r="BP6" i="16"/>
  <c r="BP14" i="16"/>
  <c r="BP10" i="16"/>
  <c r="BQ7" i="16"/>
  <c r="BP15" i="16"/>
  <c r="AG19" i="20"/>
  <c r="AK18" i="20"/>
  <c r="BP17" i="16"/>
  <c r="BP12" i="16"/>
  <c r="BQ6" i="16"/>
  <c r="BP11" i="16"/>
  <c r="BP13" i="16"/>
  <c r="BQ16" i="16"/>
  <c r="BZ16" i="16"/>
  <c r="BQ8" i="16"/>
  <c r="BP8" i="16"/>
  <c r="BQ4" i="16"/>
  <c r="BQ12" i="16"/>
  <c r="BQ13" i="16"/>
  <c r="BQ14" i="16"/>
  <c r="BZ11" i="16"/>
  <c r="BQ15" i="16"/>
  <c r="BQ9" i="16"/>
  <c r="BQ11" i="16"/>
  <c r="BQ5" i="16"/>
  <c r="BZ14" i="16"/>
  <c r="BP7" i="16"/>
  <c r="BP5" i="16"/>
  <c r="BP16" i="16"/>
  <c r="BQ17" i="16"/>
  <c r="BQ10" i="16"/>
  <c r="BZ3" i="16"/>
  <c r="BZ13" i="16"/>
  <c r="BZ5" i="16"/>
  <c r="BZ12" i="16"/>
  <c r="BZ9" i="16"/>
  <c r="BZ8" i="16"/>
  <c r="BZ4" i="16"/>
  <c r="BZ6" i="16"/>
  <c r="BZ15" i="16"/>
  <c r="BP4" i="16"/>
  <c r="BP9" i="16"/>
  <c r="BZ7" i="16"/>
  <c r="BZ10" i="16"/>
  <c r="AY53" i="1"/>
  <c r="AZ53" i="1"/>
  <c r="AY54" i="1"/>
  <c r="AZ54" i="1"/>
  <c r="AY55" i="1"/>
  <c r="AZ55" i="1"/>
  <c r="AY56" i="1"/>
  <c r="AZ56" i="1"/>
  <c r="AY57" i="1"/>
  <c r="AZ57" i="1"/>
  <c r="AY58" i="1"/>
  <c r="AZ58" i="1"/>
  <c r="AY59" i="1"/>
  <c r="AZ59" i="1"/>
  <c r="AY60" i="1"/>
  <c r="AZ60" i="1"/>
  <c r="AY61" i="1"/>
  <c r="AZ61" i="1"/>
  <c r="AY62" i="1"/>
  <c r="AZ62" i="1"/>
  <c r="AY63" i="1"/>
  <c r="AZ63" i="1"/>
  <c r="AY64" i="1"/>
  <c r="AZ64" i="1"/>
  <c r="AY65" i="1"/>
  <c r="AZ65" i="1"/>
  <c r="AY66" i="1"/>
  <c r="AZ66" i="1"/>
  <c r="AY52" i="1"/>
  <c r="AZ52" i="1"/>
  <c r="AZ51" i="1"/>
  <c r="AY51" i="1"/>
  <c r="AW52" i="1"/>
  <c r="AO23" i="20" l="1"/>
  <c r="BD20" i="20" a="1"/>
  <c r="BG6" i="20"/>
  <c r="BG10" i="20"/>
  <c r="BG14" i="20"/>
  <c r="BG7" i="20"/>
  <c r="BG11" i="20"/>
  <c r="BG15" i="20"/>
  <c r="BG4" i="20"/>
  <c r="BG8" i="20"/>
  <c r="BG12" i="20"/>
  <c r="BG16" i="20"/>
  <c r="BG5" i="20"/>
  <c r="BG9" i="20"/>
  <c r="BG13" i="20"/>
  <c r="BG17" i="20"/>
  <c r="AP22" i="20"/>
  <c r="AP20" i="20"/>
  <c r="AP21" i="20"/>
  <c r="AO20" i="20"/>
  <c r="AO21" i="20"/>
  <c r="AO24" i="20"/>
  <c r="AP23" i="20"/>
  <c r="AP24" i="20"/>
  <c r="AK20" i="20" a="1"/>
  <c r="AL22" i="20" s="1"/>
  <c r="AY18" i="20"/>
  <c r="BG18" i="20" s="1"/>
  <c r="AU20" i="20" a="1"/>
  <c r="AQ18" i="20"/>
  <c r="BG29" i="1"/>
  <c r="BH29" i="1"/>
  <c r="BG30" i="1"/>
  <c r="BH30" i="1"/>
  <c r="BG31" i="1"/>
  <c r="BH31" i="1"/>
  <c r="BG32" i="1"/>
  <c r="BH32" i="1"/>
  <c r="BG33" i="1"/>
  <c r="BH33" i="1"/>
  <c r="BG34" i="1"/>
  <c r="BH34" i="1"/>
  <c r="BG35" i="1"/>
  <c r="BH35" i="1"/>
  <c r="BG36" i="1"/>
  <c r="BH36" i="1"/>
  <c r="BG37" i="1"/>
  <c r="BH37" i="1"/>
  <c r="BG38" i="1"/>
  <c r="BH38" i="1"/>
  <c r="BG39" i="1"/>
  <c r="BH39" i="1"/>
  <c r="BG40" i="1"/>
  <c r="BH40" i="1"/>
  <c r="BG41" i="1"/>
  <c r="BH41" i="1"/>
  <c r="BG42" i="1"/>
  <c r="BH42" i="1"/>
  <c r="BG43" i="1"/>
  <c r="BH43" i="1"/>
  <c r="BH28" i="1"/>
  <c r="BG28" i="1"/>
  <c r="BE31" i="1"/>
  <c r="AW54" i="1" s="1"/>
  <c r="BE32" i="1"/>
  <c r="AW55" i="1" s="1"/>
  <c r="BE33" i="1"/>
  <c r="AW56" i="1" s="1"/>
  <c r="BE34" i="1"/>
  <c r="AW57" i="1" s="1"/>
  <c r="BE35" i="1"/>
  <c r="AW58" i="1" s="1"/>
  <c r="BE36" i="1"/>
  <c r="AW59" i="1" s="1"/>
  <c r="BE37" i="1"/>
  <c r="AW60" i="1" s="1"/>
  <c r="BE38" i="1"/>
  <c r="AW61" i="1" s="1"/>
  <c r="BE39" i="1"/>
  <c r="AW62" i="1" s="1"/>
  <c r="BE40" i="1"/>
  <c r="AW63" i="1" s="1"/>
  <c r="BE41" i="1"/>
  <c r="AW64" i="1" s="1"/>
  <c r="BE42" i="1"/>
  <c r="AW65" i="1" s="1"/>
  <c r="BE43" i="1"/>
  <c r="AW66" i="1" s="1"/>
  <c r="BE30" i="1"/>
  <c r="AW53" i="1" s="1"/>
  <c r="AY16" i="1"/>
  <c r="AY17" i="1"/>
  <c r="AU45" i="1" a="1"/>
  <c r="AV45" i="1" s="1"/>
  <c r="AP13" i="20" l="1"/>
  <c r="AP12" i="20"/>
  <c r="AP18" i="20"/>
  <c r="AP15" i="20"/>
  <c r="BD20" i="20"/>
  <c r="BE23" i="20"/>
  <c r="BD23" i="20"/>
  <c r="BF23" i="20"/>
  <c r="BF22" i="20"/>
  <c r="BD22" i="20"/>
  <c r="BF21" i="20"/>
  <c r="BE22" i="20"/>
  <c r="BE21" i="20"/>
  <c r="BF20" i="20"/>
  <c r="BE20" i="20"/>
  <c r="BD21" i="20"/>
  <c r="BE24" i="20"/>
  <c r="BF24" i="20"/>
  <c r="BD24" i="20"/>
  <c r="AP11" i="20"/>
  <c r="AP5" i="20"/>
  <c r="AP9" i="20"/>
  <c r="AP14" i="20"/>
  <c r="AP17" i="20"/>
  <c r="AP10" i="20"/>
  <c r="AP6" i="20"/>
  <c r="AP7" i="20"/>
  <c r="AP4" i="20"/>
  <c r="AP16" i="20"/>
  <c r="AP8" i="20"/>
  <c r="AM24" i="20"/>
  <c r="AL21" i="20"/>
  <c r="AL23" i="20"/>
  <c r="AM22" i="20"/>
  <c r="AM23" i="20"/>
  <c r="AK20" i="20"/>
  <c r="AM21" i="20"/>
  <c r="AL20" i="20"/>
  <c r="AK24" i="20"/>
  <c r="AM20" i="20"/>
  <c r="AK22" i="20"/>
  <c r="AU20" i="20"/>
  <c r="AV23" i="20"/>
  <c r="AU21" i="20"/>
  <c r="AV21" i="20"/>
  <c r="AV24" i="20"/>
  <c r="AU23" i="20"/>
  <c r="AV20" i="20"/>
  <c r="AU24" i="20"/>
  <c r="AU22" i="20"/>
  <c r="AV22" i="20"/>
  <c r="AK23" i="20"/>
  <c r="AL24" i="20"/>
  <c r="AK21" i="20"/>
  <c r="AT68" i="1" a="1"/>
  <c r="AT68" i="1" s="1"/>
  <c r="BC45" i="1" a="1"/>
  <c r="AU49" i="1"/>
  <c r="AU48" i="1"/>
  <c r="AU47" i="1"/>
  <c r="AU46" i="1"/>
  <c r="AU45" i="1"/>
  <c r="AX49" i="1"/>
  <c r="AX48" i="1"/>
  <c r="AX47" i="1"/>
  <c r="AX46" i="1"/>
  <c r="AX45" i="1"/>
  <c r="AW49" i="1"/>
  <c r="AW48" i="1"/>
  <c r="AW47" i="1"/>
  <c r="AW46" i="1"/>
  <c r="AW45" i="1"/>
  <c r="AV49" i="1"/>
  <c r="AV48" i="1"/>
  <c r="AV47" i="1"/>
  <c r="AV46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4" i="1"/>
  <c r="AX4" i="1"/>
  <c r="AY4" i="1"/>
  <c r="AX5" i="1"/>
  <c r="AY5" i="1"/>
  <c r="AX6" i="1"/>
  <c r="AY6" i="1"/>
  <c r="AX7" i="1"/>
  <c r="AY7" i="1"/>
  <c r="AX8" i="1"/>
  <c r="AY8" i="1"/>
  <c r="AX9" i="1"/>
  <c r="AY9" i="1"/>
  <c r="AX10" i="1"/>
  <c r="AY10" i="1"/>
  <c r="AX11" i="1"/>
  <c r="AY11" i="1"/>
  <c r="AX12" i="1"/>
  <c r="AY12" i="1"/>
  <c r="AX13" i="1"/>
  <c r="AY13" i="1"/>
  <c r="AX14" i="1"/>
  <c r="AY14" i="1"/>
  <c r="AX15" i="1"/>
  <c r="AY15" i="1"/>
  <c r="AX16" i="1"/>
  <c r="AX17" i="1"/>
  <c r="AX18" i="1"/>
  <c r="AY18" i="1"/>
  <c r="AX3" i="1"/>
  <c r="AY3" i="1"/>
  <c r="AQ199" i="1"/>
  <c r="AP199" i="1"/>
  <c r="AO199" i="1"/>
  <c r="AQ187" i="1"/>
  <c r="AP187" i="1"/>
  <c r="AO187" i="1"/>
  <c r="AQ175" i="1"/>
  <c r="AP175" i="1"/>
  <c r="AO175" i="1"/>
  <c r="AQ163" i="1"/>
  <c r="AP163" i="1"/>
  <c r="AO163" i="1"/>
  <c r="AQ151" i="1"/>
  <c r="AP151" i="1"/>
  <c r="AO151" i="1"/>
  <c r="AQ139" i="1"/>
  <c r="AP139" i="1"/>
  <c r="AO139" i="1"/>
  <c r="AQ127" i="1"/>
  <c r="AP127" i="1"/>
  <c r="AO127" i="1"/>
  <c r="AQ115" i="1"/>
  <c r="AP115" i="1"/>
  <c r="AO115" i="1"/>
  <c r="AS101" i="1"/>
  <c r="AR101" i="1"/>
  <c r="AQ101" i="1"/>
  <c r="AQ89" i="1"/>
  <c r="AP89" i="1"/>
  <c r="AO89" i="1"/>
  <c r="AQ77" i="1"/>
  <c r="AP77" i="1"/>
  <c r="AO77" i="1"/>
  <c r="AQ41" i="1"/>
  <c r="AP41" i="1"/>
  <c r="AO41" i="1"/>
  <c r="AQ29" i="1"/>
  <c r="AP29" i="1"/>
  <c r="AO29" i="1"/>
  <c r="AM194" i="1"/>
  <c r="AL194" i="1"/>
  <c r="AK194" i="1"/>
  <c r="AM182" i="1"/>
  <c r="AL182" i="1"/>
  <c r="AK182" i="1"/>
  <c r="AM170" i="1"/>
  <c r="AL170" i="1"/>
  <c r="AK170" i="1"/>
  <c r="AM158" i="1"/>
  <c r="AL158" i="1"/>
  <c r="AK158" i="1"/>
  <c r="AM146" i="1"/>
  <c r="AL146" i="1"/>
  <c r="AK146" i="1"/>
  <c r="AM134" i="1"/>
  <c r="AL134" i="1"/>
  <c r="AK134" i="1"/>
  <c r="AM122" i="1"/>
  <c r="AL122" i="1"/>
  <c r="AK122" i="1"/>
  <c r="AO108" i="1"/>
  <c r="AN108" i="1"/>
  <c r="AM108" i="1"/>
  <c r="AO96" i="1"/>
  <c r="AN96" i="1"/>
  <c r="AM96" i="1"/>
  <c r="AM84" i="1"/>
  <c r="AL84" i="1"/>
  <c r="AK84" i="1"/>
  <c r="AJ203" i="1" s="1"/>
  <c r="AM72" i="1"/>
  <c r="AL72" i="1"/>
  <c r="AK72" i="1"/>
  <c r="AM60" i="1"/>
  <c r="AL60" i="1"/>
  <c r="AK60" i="1"/>
  <c r="AM48" i="1"/>
  <c r="AL48" i="1"/>
  <c r="AK48" i="1"/>
  <c r="AM36" i="1"/>
  <c r="AL36" i="1"/>
  <c r="AK36" i="1"/>
  <c r="BF4" i="20" l="1"/>
  <c r="BF15" i="20"/>
  <c r="BF5" i="20"/>
  <c r="BF18" i="20"/>
  <c r="BF6" i="20"/>
  <c r="AO8" i="20"/>
  <c r="BF7" i="20"/>
  <c r="BF8" i="20"/>
  <c r="BF10" i="20"/>
  <c r="BF11" i="20"/>
  <c r="BF12" i="20"/>
  <c r="BF13" i="20"/>
  <c r="BF14" i="20"/>
  <c r="BF9" i="20"/>
  <c r="BF16" i="20"/>
  <c r="BF17" i="20"/>
  <c r="AO16" i="20"/>
  <c r="BH5" i="20"/>
  <c r="BH18" i="20"/>
  <c r="BH4" i="20"/>
  <c r="BH10" i="20"/>
  <c r="BH17" i="20"/>
  <c r="BH11" i="20"/>
  <c r="BH6" i="20"/>
  <c r="BH13" i="20"/>
  <c r="BH7" i="20"/>
  <c r="BH9" i="20"/>
  <c r="BH8" i="20"/>
  <c r="BH15" i="20"/>
  <c r="BH12" i="20"/>
  <c r="BH16" i="20"/>
  <c r="BH14" i="20"/>
  <c r="AO10" i="20"/>
  <c r="AO15" i="20"/>
  <c r="AO13" i="20"/>
  <c r="AO11" i="20"/>
  <c r="AO9" i="20"/>
  <c r="AO14" i="20"/>
  <c r="AO12" i="20"/>
  <c r="AR11" i="20"/>
  <c r="AR13" i="20"/>
  <c r="AR17" i="20"/>
  <c r="AR14" i="20"/>
  <c r="AR16" i="20"/>
  <c r="AR4" i="20"/>
  <c r="AR6" i="20"/>
  <c r="AR10" i="20"/>
  <c r="AR7" i="20"/>
  <c r="AR9" i="20"/>
  <c r="AR15" i="20"/>
  <c r="AR5" i="20"/>
  <c r="AR8" i="20"/>
  <c r="AR12" i="20"/>
  <c r="AR18" i="20"/>
  <c r="AO7" i="20"/>
  <c r="AO6" i="20"/>
  <c r="AO5" i="20"/>
  <c r="AO4" i="20"/>
  <c r="AO18" i="20"/>
  <c r="AO17" i="20"/>
  <c r="P20" i="1"/>
  <c r="J109" i="1" s="1"/>
  <c r="AT70" i="1"/>
  <c r="AW72" i="1"/>
  <c r="AW68" i="1"/>
  <c r="AT72" i="1"/>
  <c r="AT71" i="1"/>
  <c r="AU72" i="1"/>
  <c r="AV72" i="1"/>
  <c r="AW71" i="1"/>
  <c r="AU68" i="1"/>
  <c r="AV69" i="1"/>
  <c r="AV68" i="1"/>
  <c r="AV70" i="1"/>
  <c r="AW70" i="1"/>
  <c r="AT69" i="1"/>
  <c r="AU70" i="1"/>
  <c r="AU69" i="1"/>
  <c r="AU71" i="1"/>
  <c r="AV71" i="1"/>
  <c r="AW69" i="1"/>
  <c r="BD45" i="1"/>
  <c r="BE46" i="1"/>
  <c r="BC48" i="1"/>
  <c r="BD49" i="1"/>
  <c r="BE45" i="1"/>
  <c r="BC47" i="1"/>
  <c r="BD48" i="1"/>
  <c r="BE49" i="1"/>
  <c r="BC45" i="1"/>
  <c r="BD46" i="1"/>
  <c r="BE47" i="1"/>
  <c r="BC49" i="1"/>
  <c r="BC46" i="1"/>
  <c r="BD47" i="1"/>
  <c r="BE48" i="1"/>
  <c r="AZ30" i="1"/>
  <c r="AZ34" i="1"/>
  <c r="AZ38" i="1"/>
  <c r="AZ42" i="1"/>
  <c r="AZ31" i="1"/>
  <c r="AZ35" i="1"/>
  <c r="AZ39" i="1"/>
  <c r="AZ43" i="1"/>
  <c r="AZ32" i="1"/>
  <c r="AZ36" i="1"/>
  <c r="AZ40" i="1"/>
  <c r="AZ29" i="1"/>
  <c r="AZ33" i="1"/>
  <c r="AZ37" i="1"/>
  <c r="AZ41" i="1"/>
  <c r="AM24" i="1"/>
  <c r="AL24" i="1"/>
  <c r="AK24" i="1"/>
  <c r="J100" i="1" l="1"/>
  <c r="J98" i="1"/>
  <c r="J99" i="1"/>
  <c r="J102" i="1"/>
  <c r="J103" i="1"/>
  <c r="J104" i="1"/>
  <c r="J101" i="1"/>
  <c r="J106" i="1"/>
  <c r="J107" i="1"/>
  <c r="J108" i="1"/>
  <c r="J105" i="1"/>
  <c r="J110" i="1"/>
  <c r="J111" i="1"/>
  <c r="J97" i="1"/>
  <c r="BA59" i="1"/>
  <c r="BA55" i="1"/>
  <c r="BA64" i="1"/>
  <c r="BA63" i="1"/>
  <c r="BA61" i="1"/>
  <c r="BA66" i="1"/>
  <c r="BA60" i="1"/>
  <c r="BA62" i="1"/>
  <c r="BA65" i="1"/>
  <c r="BA54" i="1"/>
  <c r="BA56" i="1"/>
  <c r="BA57" i="1"/>
  <c r="BA58" i="1"/>
  <c r="BA52" i="1"/>
  <c r="BA53" i="1"/>
  <c r="BI31" i="1"/>
  <c r="BI35" i="1"/>
  <c r="BI39" i="1"/>
  <c r="BI43" i="1"/>
  <c r="BI32" i="1"/>
  <c r="BI36" i="1"/>
  <c r="BI40" i="1"/>
  <c r="BI29" i="1"/>
  <c r="BI33" i="1"/>
  <c r="BI37" i="1"/>
  <c r="BI41" i="1"/>
  <c r="BI30" i="1"/>
  <c r="BI34" i="1"/>
  <c r="BI38" i="1"/>
  <c r="BI42" i="1"/>
  <c r="AJ204" i="1"/>
  <c r="AI204" i="1"/>
  <c r="H33" i="16" l="1"/>
  <c r="H34" i="16"/>
  <c r="H35" i="16"/>
  <c r="H36" i="16"/>
  <c r="H37" i="16"/>
  <c r="H32" i="16"/>
  <c r="D123" i="12" l="1"/>
  <c r="E123" i="12" s="1"/>
  <c r="D122" i="12"/>
  <c r="E122" i="12" s="1"/>
  <c r="D121" i="12"/>
  <c r="E121" i="12" s="1"/>
  <c r="L110" i="12"/>
  <c r="L121" i="12" s="1"/>
  <c r="L111" i="12"/>
  <c r="L122" i="12" s="1"/>
  <c r="L112" i="12"/>
  <c r="L123" i="12" s="1"/>
  <c r="L113" i="12"/>
  <c r="L114" i="12"/>
  <c r="L115" i="12"/>
  <c r="L116" i="12"/>
  <c r="L109" i="12"/>
  <c r="L120" i="12" s="1"/>
  <c r="H110" i="12"/>
  <c r="H111" i="12"/>
  <c r="H112" i="12"/>
  <c r="H113" i="12"/>
  <c r="H114" i="12"/>
  <c r="H115" i="12"/>
  <c r="H109" i="12"/>
  <c r="D119" i="12"/>
  <c r="E119" i="12" s="1"/>
  <c r="D118" i="12"/>
  <c r="E118" i="12" s="1"/>
  <c r="D117" i="12"/>
  <c r="E117" i="12" s="1"/>
  <c r="H117" i="12"/>
  <c r="H118" i="12"/>
  <c r="H119" i="12"/>
  <c r="H120" i="12"/>
  <c r="H121" i="12"/>
  <c r="H122" i="12"/>
  <c r="H123" i="12"/>
  <c r="H116" i="12"/>
  <c r="D120" i="12"/>
  <c r="E120" i="12" s="1"/>
  <c r="D115" i="12"/>
  <c r="E115" i="12" s="1"/>
  <c r="D116" i="12"/>
  <c r="E116" i="12" s="1"/>
  <c r="D114" i="12"/>
  <c r="E114" i="12" s="1"/>
  <c r="D113" i="12"/>
  <c r="E113" i="12" s="1"/>
  <c r="D112" i="12"/>
  <c r="E112" i="12" s="1"/>
  <c r="D111" i="12"/>
  <c r="E111" i="12" s="1"/>
  <c r="D110" i="12"/>
  <c r="E110" i="12" s="1"/>
  <c r="D109" i="12"/>
  <c r="E109" i="12" s="1"/>
  <c r="D107" i="12"/>
  <c r="E107" i="12" s="1"/>
  <c r="D108" i="12"/>
  <c r="E108" i="12" s="1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5" i="12"/>
  <c r="B104" i="12" s="1"/>
  <c r="B123" i="12" s="1"/>
  <c r="D84" i="12"/>
  <c r="B103" i="12" s="1"/>
  <c r="B122" i="12" s="1"/>
  <c r="D83" i="12"/>
  <c r="B102" i="12" s="1"/>
  <c r="B121" i="12" s="1"/>
  <c r="D82" i="12"/>
  <c r="B101" i="12" s="1"/>
  <c r="D81" i="12"/>
  <c r="B100" i="12" s="1"/>
  <c r="B119" i="12" s="1"/>
  <c r="D80" i="12"/>
  <c r="B99" i="12" s="1"/>
  <c r="B118" i="12" s="1"/>
  <c r="D79" i="12"/>
  <c r="B98" i="12" s="1"/>
  <c r="B117" i="12" s="1"/>
  <c r="D78" i="12"/>
  <c r="B97" i="12" s="1"/>
  <c r="D77" i="12"/>
  <c r="B96" i="12" s="1"/>
  <c r="B115" i="12" s="1"/>
  <c r="D76" i="12"/>
  <c r="B95" i="12" s="1"/>
  <c r="B114" i="12" s="1"/>
  <c r="D75" i="12"/>
  <c r="B94" i="12" s="1"/>
  <c r="B113" i="12" s="1"/>
  <c r="D74" i="12"/>
  <c r="B93" i="12" s="1"/>
  <c r="D73" i="12"/>
  <c r="B92" i="12" s="1"/>
  <c r="B111" i="12" s="1"/>
  <c r="D72" i="12"/>
  <c r="B91" i="12" s="1"/>
  <c r="B110" i="12" s="1"/>
  <c r="D71" i="12"/>
  <c r="B90" i="12" s="1"/>
  <c r="B109" i="12" s="1"/>
  <c r="D70" i="12"/>
  <c r="B89" i="12" s="1"/>
  <c r="D69" i="12"/>
  <c r="B88" i="12" s="1"/>
  <c r="B107" i="12" s="1"/>
  <c r="G78" i="12" l="1"/>
  <c r="G83" i="12"/>
  <c r="F109" i="12"/>
  <c r="M109" i="12" s="1"/>
  <c r="G70" i="12"/>
  <c r="G74" i="12"/>
  <c r="G77" i="12"/>
  <c r="E103" i="12"/>
  <c r="BE16" i="12" s="1"/>
  <c r="F111" i="12"/>
  <c r="M111" i="12" s="1"/>
  <c r="G81" i="12"/>
  <c r="E91" i="12"/>
  <c r="BE4" i="12" s="1"/>
  <c r="G82" i="12"/>
  <c r="F123" i="12"/>
  <c r="M123" i="12" s="1"/>
  <c r="G73" i="12"/>
  <c r="E95" i="12"/>
  <c r="BE8" i="12" s="1"/>
  <c r="G85" i="12"/>
  <c r="F110" i="12"/>
  <c r="G72" i="12"/>
  <c r="F114" i="12"/>
  <c r="G76" i="12"/>
  <c r="F122" i="12"/>
  <c r="G84" i="12"/>
  <c r="E90" i="12"/>
  <c r="G71" i="12"/>
  <c r="E99" i="12"/>
  <c r="BE12" i="12" s="1"/>
  <c r="G80" i="12"/>
  <c r="F113" i="12"/>
  <c r="G75" i="12"/>
  <c r="E97" i="12"/>
  <c r="BE10" i="12" s="1"/>
  <c r="B116" i="12"/>
  <c r="F116" i="12" s="1"/>
  <c r="F107" i="12"/>
  <c r="F115" i="12"/>
  <c r="E89" i="12"/>
  <c r="B108" i="12"/>
  <c r="F108" i="12" s="1"/>
  <c r="E93" i="12"/>
  <c r="BE6" i="12" s="1"/>
  <c r="B112" i="12"/>
  <c r="F112" i="12" s="1"/>
  <c r="E101" i="12"/>
  <c r="BE14" i="12" s="1"/>
  <c r="B120" i="12"/>
  <c r="F120" i="12" s="1"/>
  <c r="G69" i="12"/>
  <c r="F118" i="12"/>
  <c r="F121" i="12"/>
  <c r="F117" i="12"/>
  <c r="G79" i="12"/>
  <c r="F119" i="12"/>
  <c r="E98" i="12"/>
  <c r="BE11" i="12" s="1"/>
  <c r="E100" i="12"/>
  <c r="BE13" i="12" s="1"/>
  <c r="E94" i="12"/>
  <c r="BE7" i="12" s="1"/>
  <c r="E96" i="12"/>
  <c r="BE9" i="12" s="1"/>
  <c r="E92" i="12"/>
  <c r="BE5" i="12" s="1"/>
  <c r="E88" i="12"/>
  <c r="E102" i="12"/>
  <c r="BE15" i="12" s="1"/>
  <c r="E104" i="12"/>
  <c r="F85" i="12" l="1"/>
  <c r="I85" i="12" s="1"/>
  <c r="F71" i="12"/>
  <c r="I71" i="12" s="1"/>
  <c r="M112" i="12"/>
  <c r="F74" i="12"/>
  <c r="I74" i="12" s="1"/>
  <c r="I117" i="12"/>
  <c r="L117" i="12"/>
  <c r="M117" i="12" s="1"/>
  <c r="F79" i="12"/>
  <c r="I79" i="12" s="1"/>
  <c r="I118" i="12"/>
  <c r="F80" i="12"/>
  <c r="I80" i="12" s="1"/>
  <c r="L118" i="12"/>
  <c r="M118" i="12" s="1"/>
  <c r="AV2" i="12" a="1"/>
  <c r="BE2" i="12"/>
  <c r="AZ2" i="12" a="1"/>
  <c r="F84" i="12"/>
  <c r="I84" i="12" s="1"/>
  <c r="M122" i="12"/>
  <c r="M110" i="12"/>
  <c r="F72" i="12"/>
  <c r="I72" i="12" s="1"/>
  <c r="F83" i="12"/>
  <c r="I83" i="12" s="1"/>
  <c r="M121" i="12"/>
  <c r="M120" i="12"/>
  <c r="F82" i="12"/>
  <c r="I82" i="12" s="1"/>
  <c r="F77" i="12"/>
  <c r="I77" i="12" s="1"/>
  <c r="M115" i="12"/>
  <c r="F81" i="12"/>
  <c r="I81" i="12" s="1"/>
  <c r="L119" i="12"/>
  <c r="M119" i="12" s="1"/>
  <c r="I119" i="12"/>
  <c r="M107" i="12"/>
  <c r="F69" i="12"/>
  <c r="I69" i="12" s="1"/>
  <c r="F73" i="12"/>
  <c r="I73" i="12" s="1"/>
  <c r="M113" i="12"/>
  <c r="F75" i="12"/>
  <c r="I75" i="12" s="1"/>
  <c r="BE3" i="12"/>
  <c r="AZ15" i="12" a="1"/>
  <c r="M114" i="12"/>
  <c r="F76" i="12"/>
  <c r="I76" i="12" s="1"/>
  <c r="M108" i="12"/>
  <c r="F70" i="12"/>
  <c r="I70" i="12" s="1"/>
  <c r="M116" i="12"/>
  <c r="F78" i="12"/>
  <c r="I78" i="12" s="1"/>
  <c r="AZ2" i="12" l="1"/>
  <c r="BB3" i="12"/>
  <c r="AZ4" i="12"/>
  <c r="BB5" i="12"/>
  <c r="BA4" i="12"/>
  <c r="BB4" i="12"/>
  <c r="AZ6" i="12"/>
  <c r="BA2" i="12"/>
  <c r="BB2" i="12"/>
  <c r="AZ5" i="12"/>
  <c r="BA6" i="12"/>
  <c r="AZ3" i="12"/>
  <c r="BA3" i="12"/>
  <c r="BA5" i="12"/>
  <c r="BB6" i="12"/>
  <c r="AZ15" i="12"/>
  <c r="BA15" i="12"/>
  <c r="BB15" i="12"/>
  <c r="AZ16" i="12"/>
  <c r="BA16" i="12"/>
  <c r="BB16" i="12"/>
  <c r="AZ17" i="12"/>
  <c r="BA17" i="12"/>
  <c r="BB17" i="12"/>
  <c r="AZ18" i="12"/>
  <c r="BA18" i="12"/>
  <c r="BB18" i="12"/>
  <c r="AZ19" i="12"/>
  <c r="BA19" i="12"/>
  <c r="BB19" i="12"/>
  <c r="AV2" i="12"/>
  <c r="AV4" i="12"/>
  <c r="AX3" i="12"/>
  <c r="AW3" i="12"/>
  <c r="AW4" i="12"/>
  <c r="AX2" i="12"/>
  <c r="AW2" i="12"/>
  <c r="AX5" i="12"/>
  <c r="AX6" i="12"/>
  <c r="AW6" i="12"/>
  <c r="AV6" i="12"/>
  <c r="AV3" i="12"/>
  <c r="AW5" i="12"/>
  <c r="AV5" i="12"/>
  <c r="AX4" i="12"/>
  <c r="BF2" i="12" l="1"/>
  <c r="BF4" i="12"/>
  <c r="BF8" i="12"/>
  <c r="BF12" i="12"/>
  <c r="BF5" i="12"/>
  <c r="BF9" i="12"/>
  <c r="BF13" i="12"/>
  <c r="BF6" i="12"/>
  <c r="BF10" i="12"/>
  <c r="BF14" i="12"/>
  <c r="BF3" i="12"/>
  <c r="BF7" i="12"/>
  <c r="BF11" i="12"/>
  <c r="BF15" i="12"/>
  <c r="BF16" i="12"/>
  <c r="BG5" i="12"/>
  <c r="BG9" i="12"/>
  <c r="BG13" i="12"/>
  <c r="BG2" i="12"/>
  <c r="BG6" i="12"/>
  <c r="BG10" i="12"/>
  <c r="BG14" i="12"/>
  <c r="BG3" i="12"/>
  <c r="BG7" i="12"/>
  <c r="BG11" i="12"/>
  <c r="BG15" i="12"/>
  <c r="BG4" i="12"/>
  <c r="BG8" i="12"/>
  <c r="BG12" i="12"/>
  <c r="BG16" i="12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V45" i="1" a="1"/>
  <c r="V45" i="1" s="1"/>
  <c r="AB45" i="1" s="1"/>
  <c r="Q20" i="1" l="1"/>
  <c r="C100" i="1" s="1"/>
  <c r="D100" i="1" s="1"/>
  <c r="G100" i="1" s="1"/>
  <c r="N100" i="1" s="1"/>
  <c r="V59" i="1"/>
  <c r="AB59" i="1" s="1"/>
  <c r="V51" i="1"/>
  <c r="AB51" i="1" s="1"/>
  <c r="V55" i="1"/>
  <c r="AB55" i="1" s="1"/>
  <c r="V47" i="1"/>
  <c r="AB47" i="1" s="1"/>
  <c r="V54" i="1"/>
  <c r="AB54" i="1" s="1"/>
  <c r="V46" i="1"/>
  <c r="AB46" i="1" s="1"/>
  <c r="V58" i="1"/>
  <c r="AB58" i="1" s="1"/>
  <c r="V50" i="1"/>
  <c r="AB50" i="1" s="1"/>
  <c r="V56" i="1"/>
  <c r="AB56" i="1" s="1"/>
  <c r="V52" i="1"/>
  <c r="AB52" i="1" s="1"/>
  <c r="V48" i="1"/>
  <c r="AB48" i="1" s="1"/>
  <c r="V57" i="1"/>
  <c r="AB57" i="1" s="1"/>
  <c r="V53" i="1"/>
  <c r="AB53" i="1" s="1"/>
  <c r="V49" i="1"/>
  <c r="AB49" i="1" s="1"/>
  <c r="N45" i="1" a="1"/>
  <c r="P45" i="1" s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28" i="1"/>
  <c r="H28" i="1"/>
  <c r="C97" i="1" l="1"/>
  <c r="D97" i="1" s="1"/>
  <c r="G97" i="1" s="1"/>
  <c r="N97" i="1" s="1"/>
  <c r="C98" i="1"/>
  <c r="D98" i="1" s="1"/>
  <c r="G98" i="1" s="1"/>
  <c r="N98" i="1" s="1"/>
  <c r="C99" i="1"/>
  <c r="D99" i="1" s="1"/>
  <c r="G99" i="1" s="1"/>
  <c r="N99" i="1" s="1"/>
  <c r="E85" i="1"/>
  <c r="F85" i="1" s="1"/>
  <c r="C103" i="1" s="1"/>
  <c r="D103" i="1" s="1"/>
  <c r="G103" i="1" s="1"/>
  <c r="N103" i="1" s="1"/>
  <c r="E89" i="1"/>
  <c r="F89" i="1" s="1"/>
  <c r="C107" i="1" s="1"/>
  <c r="D107" i="1" s="1"/>
  <c r="G107" i="1" s="1"/>
  <c r="N107" i="1" s="1"/>
  <c r="E93" i="1"/>
  <c r="F93" i="1" s="1"/>
  <c r="C111" i="1" s="1"/>
  <c r="D111" i="1" s="1"/>
  <c r="G111" i="1" s="1"/>
  <c r="N111" i="1" s="1"/>
  <c r="E86" i="1"/>
  <c r="F86" i="1" s="1"/>
  <c r="C104" i="1" s="1"/>
  <c r="D104" i="1" s="1"/>
  <c r="G104" i="1" s="1"/>
  <c r="N104" i="1" s="1"/>
  <c r="E90" i="1"/>
  <c r="F90" i="1" s="1"/>
  <c r="C108" i="1" s="1"/>
  <c r="D108" i="1" s="1"/>
  <c r="G108" i="1" s="1"/>
  <c r="N108" i="1" s="1"/>
  <c r="E83" i="1"/>
  <c r="F83" i="1" s="1"/>
  <c r="C101" i="1" s="1"/>
  <c r="D101" i="1" s="1"/>
  <c r="G101" i="1" s="1"/>
  <c r="E87" i="1"/>
  <c r="F87" i="1" s="1"/>
  <c r="C105" i="1" s="1"/>
  <c r="D105" i="1" s="1"/>
  <c r="G105" i="1" s="1"/>
  <c r="N105" i="1" s="1"/>
  <c r="E91" i="1"/>
  <c r="F91" i="1" s="1"/>
  <c r="C109" i="1" s="1"/>
  <c r="D109" i="1" s="1"/>
  <c r="G109" i="1" s="1"/>
  <c r="N109" i="1" s="1"/>
  <c r="E84" i="1"/>
  <c r="F84" i="1" s="1"/>
  <c r="C102" i="1" s="1"/>
  <c r="D102" i="1" s="1"/>
  <c r="G102" i="1" s="1"/>
  <c r="N102" i="1" s="1"/>
  <c r="E88" i="1"/>
  <c r="F88" i="1" s="1"/>
  <c r="C106" i="1" s="1"/>
  <c r="D106" i="1" s="1"/>
  <c r="G106" i="1" s="1"/>
  <c r="N106" i="1" s="1"/>
  <c r="E92" i="1"/>
  <c r="F92" i="1" s="1"/>
  <c r="C110" i="1" s="1"/>
  <c r="D110" i="1" s="1"/>
  <c r="G110" i="1" s="1"/>
  <c r="N110" i="1" s="1"/>
  <c r="X45" i="1" a="1"/>
  <c r="N49" i="1"/>
  <c r="N48" i="1"/>
  <c r="N47" i="1"/>
  <c r="N46" i="1"/>
  <c r="N45" i="1"/>
  <c r="O49" i="1"/>
  <c r="O48" i="1"/>
  <c r="O47" i="1"/>
  <c r="O46" i="1"/>
  <c r="O45" i="1"/>
  <c r="Q49" i="1"/>
  <c r="Q48" i="1"/>
  <c r="Q47" i="1"/>
  <c r="Q46" i="1"/>
  <c r="Q45" i="1"/>
  <c r="P49" i="1"/>
  <c r="P48" i="1"/>
  <c r="P47" i="1"/>
  <c r="P46" i="1"/>
  <c r="N101" i="1" l="1"/>
  <c r="L114" i="1" a="1"/>
  <c r="L122" i="1" a="1"/>
  <c r="L45" i="1"/>
  <c r="L59" i="1"/>
  <c r="Z45" i="1"/>
  <c r="X49" i="1"/>
  <c r="Y49" i="1"/>
  <c r="Z48" i="1"/>
  <c r="Y48" i="1"/>
  <c r="Y46" i="1"/>
  <c r="Z46" i="1"/>
  <c r="X46" i="1"/>
  <c r="X45" i="1"/>
  <c r="Y45" i="1"/>
  <c r="Z49" i="1"/>
  <c r="Z47" i="1"/>
  <c r="X48" i="1"/>
  <c r="Y47" i="1"/>
  <c r="X47" i="1"/>
  <c r="L46" i="1"/>
  <c r="L54" i="1"/>
  <c r="L47" i="1"/>
  <c r="L55" i="1"/>
  <c r="L48" i="1"/>
  <c r="L49" i="1"/>
  <c r="L57" i="1"/>
  <c r="L50" i="1"/>
  <c r="L58" i="1"/>
  <c r="L51" i="1"/>
  <c r="L56" i="1"/>
  <c r="L52" i="1"/>
  <c r="L53" i="1"/>
  <c r="N29" i="1" a="1"/>
  <c r="Q29" i="1" s="1"/>
  <c r="L123" i="1" l="1"/>
  <c r="M123" i="1"/>
  <c r="N124" i="1"/>
  <c r="L124" i="1"/>
  <c r="M125" i="1"/>
  <c r="M126" i="1"/>
  <c r="L122" i="1"/>
  <c r="M124" i="1"/>
  <c r="N126" i="1"/>
  <c r="L126" i="1"/>
  <c r="N125" i="1"/>
  <c r="N122" i="1"/>
  <c r="M122" i="1"/>
  <c r="N123" i="1"/>
  <c r="L125" i="1"/>
  <c r="N115" i="1"/>
  <c r="N117" i="1"/>
  <c r="O116" i="1"/>
  <c r="O115" i="1"/>
  <c r="M116" i="1"/>
  <c r="N114" i="1"/>
  <c r="L115" i="1"/>
  <c r="L116" i="1"/>
  <c r="M117" i="1"/>
  <c r="N116" i="1"/>
  <c r="L117" i="1"/>
  <c r="M118" i="1"/>
  <c r="O117" i="1"/>
  <c r="N118" i="1"/>
  <c r="L118" i="1"/>
  <c r="O118" i="1"/>
  <c r="M114" i="1"/>
  <c r="M115" i="1"/>
  <c r="L114" i="1"/>
  <c r="O114" i="1"/>
  <c r="AC48" i="1"/>
  <c r="AC52" i="1"/>
  <c r="AC56" i="1"/>
  <c r="AC45" i="1"/>
  <c r="AC49" i="1"/>
  <c r="AC53" i="1"/>
  <c r="AC57" i="1"/>
  <c r="AC46" i="1"/>
  <c r="AC50" i="1"/>
  <c r="AC54" i="1"/>
  <c r="AC58" i="1"/>
  <c r="AC47" i="1"/>
  <c r="AC51" i="1"/>
  <c r="AC55" i="1"/>
  <c r="AC59" i="1"/>
  <c r="O31" i="1"/>
  <c r="Q31" i="1"/>
  <c r="O33" i="1"/>
  <c r="Q33" i="1"/>
  <c r="R29" i="1"/>
  <c r="P31" i="1"/>
  <c r="R31" i="1"/>
  <c r="P33" i="1"/>
  <c r="R33" i="1"/>
  <c r="Q30" i="1"/>
  <c r="S30" i="1"/>
  <c r="Q32" i="1"/>
  <c r="S32" i="1"/>
  <c r="N29" i="1"/>
  <c r="P29" i="1"/>
  <c r="R30" i="1"/>
  <c r="N31" i="1"/>
  <c r="R32" i="1"/>
  <c r="N33" i="1"/>
  <c r="S29" i="1"/>
  <c r="O30" i="1"/>
  <c r="S31" i="1"/>
  <c r="O32" i="1"/>
  <c r="S33" i="1"/>
  <c r="N30" i="1"/>
  <c r="P30" i="1"/>
  <c r="N32" i="1"/>
  <c r="P32" i="1"/>
  <c r="O29" i="1"/>
  <c r="O5" i="1"/>
  <c r="AV5" i="1" s="1"/>
  <c r="O6" i="1"/>
  <c r="AV6" i="1" s="1"/>
  <c r="O7" i="1"/>
  <c r="AV7" i="1" s="1"/>
  <c r="O8" i="1"/>
  <c r="AV8" i="1" s="1"/>
  <c r="O9" i="1"/>
  <c r="AV9" i="1" s="1"/>
  <c r="O10" i="1"/>
  <c r="AV10" i="1" s="1"/>
  <c r="O11" i="1"/>
  <c r="AV11" i="1" s="1"/>
  <c r="O12" i="1"/>
  <c r="AV12" i="1" s="1"/>
  <c r="O13" i="1"/>
  <c r="AV13" i="1" s="1"/>
  <c r="O14" i="1"/>
  <c r="AV14" i="1" s="1"/>
  <c r="O15" i="1"/>
  <c r="AV15" i="1" s="1"/>
  <c r="O16" i="1"/>
  <c r="AV16" i="1" s="1"/>
  <c r="O17" i="1"/>
  <c r="AV17" i="1" s="1"/>
  <c r="O18" i="1"/>
  <c r="AV18" i="1" s="1"/>
  <c r="O4" i="1"/>
  <c r="AV4" i="1" l="1"/>
  <c r="O20" i="1"/>
  <c r="O101" i="1"/>
  <c r="O99" i="1"/>
  <c r="O97" i="1"/>
  <c r="O102" i="1"/>
  <c r="O108" i="1"/>
  <c r="O106" i="1"/>
  <c r="O104" i="1"/>
  <c r="O109" i="1"/>
  <c r="O100" i="1"/>
  <c r="O98" i="1"/>
  <c r="O111" i="1"/>
  <c r="O103" i="1"/>
  <c r="O110" i="1"/>
  <c r="O107" i="1"/>
  <c r="O105" i="1"/>
  <c r="P110" i="1"/>
  <c r="P97" i="1"/>
  <c r="P111" i="1"/>
  <c r="P99" i="1"/>
  <c r="P98" i="1"/>
  <c r="P108" i="1"/>
  <c r="P103" i="1"/>
  <c r="P101" i="1"/>
  <c r="P104" i="1"/>
  <c r="P109" i="1"/>
  <c r="P106" i="1"/>
  <c r="P102" i="1"/>
  <c r="P105" i="1"/>
  <c r="P100" i="1"/>
  <c r="P107" i="1"/>
  <c r="AT20" i="1" a="1"/>
  <c r="C20" i="12"/>
  <c r="D20" i="12"/>
  <c r="E20" i="12"/>
  <c r="F20" i="12"/>
  <c r="G20" i="12"/>
  <c r="H20" i="12"/>
  <c r="I20" i="12"/>
  <c r="J20" i="12"/>
  <c r="K20" i="12"/>
  <c r="L20" i="12"/>
  <c r="M20" i="12"/>
  <c r="B20" i="12"/>
  <c r="AT20" i="1" l="1"/>
  <c r="AW21" i="1"/>
  <c r="AV22" i="1"/>
  <c r="AU23" i="1"/>
  <c r="AW24" i="1"/>
  <c r="AT21" i="1"/>
  <c r="AW20" i="1"/>
  <c r="AV21" i="1"/>
  <c r="AU22" i="1"/>
  <c r="AT24" i="1"/>
  <c r="AW23" i="1"/>
  <c r="AV24" i="1"/>
  <c r="AV20" i="1"/>
  <c r="AU21" i="1"/>
  <c r="AT23" i="1"/>
  <c r="AW22" i="1"/>
  <c r="AV23" i="1"/>
  <c r="AU24" i="1"/>
  <c r="AU20" i="1"/>
  <c r="AT22" i="1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4" i="12"/>
  <c r="E41" i="12"/>
  <c r="E42" i="12"/>
  <c r="E43" i="12"/>
  <c r="E44" i="12"/>
  <c r="E45" i="12"/>
  <c r="E46" i="12"/>
  <c r="E47" i="12"/>
  <c r="E48" i="12"/>
  <c r="E40" i="12"/>
  <c r="AZ11" i="1" l="1"/>
  <c r="AZ12" i="1"/>
  <c r="AZ13" i="1"/>
  <c r="AZ14" i="1"/>
  <c r="AZ15" i="1"/>
  <c r="AZ16" i="1"/>
  <c r="AZ17" i="1"/>
  <c r="AZ18" i="1"/>
  <c r="AZ4" i="1"/>
  <c r="AZ5" i="1"/>
  <c r="AZ6" i="1"/>
  <c r="AZ7" i="1"/>
  <c r="AZ8" i="1"/>
  <c r="AZ9" i="1"/>
  <c r="AZ10" i="1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</calcChain>
</file>

<file path=xl/sharedStrings.xml><?xml version="1.0" encoding="utf-8"?>
<sst xmlns="http://schemas.openxmlformats.org/spreadsheetml/2006/main" count="1916" uniqueCount="616">
  <si>
    <t>Gwydir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</si>
  <si>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</si>
  <si>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</si>
  <si>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</si>
  <si>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</si>
  <si>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</si>
  <si>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</si>
  <si>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</si>
  <si>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</si>
  <si>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</si>
  <si>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</si>
  <si>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</si>
  <si>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</si>
  <si>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Lower Balonne</t>
  </si>
  <si>
    <t>All rainfall data (monthly mm) provided by Jim Clunie. Extracted from BOM national data sets for average rainfall and use of GIS to identify polygons for estimating mean monthly rainfall.</t>
  </si>
  <si>
    <t>Lower Balonne diversions provided by Paul Harding. Separated into St George and Dirranbandi areas.</t>
  </si>
  <si>
    <t>Water use by entitlement type</t>
  </si>
  <si>
    <t>St George supplemented</t>
  </si>
  <si>
    <t>St George unsupplemented (Water Harvest diversions)</t>
  </si>
  <si>
    <t>St George OLF</t>
  </si>
  <si>
    <t>Dirranbandi unsupplemented (Water Harvest diversions)</t>
  </si>
  <si>
    <t>Dirranbandi OLF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</si>
  <si>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</si>
  <si>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</si>
  <si>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</si>
  <si>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</si>
  <si>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</si>
  <si>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</si>
  <si>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</si>
  <si>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</si>
  <si>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</si>
  <si>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</si>
  <si>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</si>
  <si>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</si>
  <si>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</si>
  <si>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</si>
  <si>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Cotton production</t>
  </si>
  <si>
    <t>St George</t>
  </si>
  <si>
    <t>Dirranbandi</t>
  </si>
  <si>
    <t>yield (bales)</t>
  </si>
  <si>
    <t>area (ha)</t>
  </si>
  <si>
    <t>Nov-Oct ML</t>
  </si>
  <si>
    <t>Plant</t>
  </si>
  <si>
    <t>Plant in</t>
  </si>
  <si>
    <t>rain (mm)</t>
  </si>
  <si>
    <t>Jan-Jun</t>
  </si>
  <si>
    <t>Nov-Jun</t>
  </si>
  <si>
    <t>Jan-Jan</t>
  </si>
  <si>
    <t>minus150mm</t>
  </si>
  <si>
    <t>Area (ha)</t>
  </si>
  <si>
    <t>minus200mm</t>
  </si>
  <si>
    <t>1999/00</t>
  </si>
  <si>
    <t>1998/99</t>
  </si>
  <si>
    <t>year</t>
  </si>
  <si>
    <t>Water left over at end of season</t>
  </si>
  <si>
    <t>Start vol(ML)</t>
  </si>
  <si>
    <t>In-season rain (mm)</t>
  </si>
  <si>
    <t>extra rain (ML)</t>
  </si>
  <si>
    <t>Total water use (ML per ha)</t>
  </si>
  <si>
    <t>total water needs (ML)</t>
  </si>
  <si>
    <t>irrigation needs (ML)</t>
  </si>
  <si>
    <t>left over irr water (ML)</t>
  </si>
  <si>
    <t>Regression modelling</t>
  </si>
  <si>
    <t>left over irr</t>
  </si>
  <si>
    <t>water (ML)</t>
  </si>
  <si>
    <t>rain jan-jun</t>
  </si>
  <si>
    <t>ML</t>
  </si>
  <si>
    <t>unsupp</t>
  </si>
  <si>
    <t>olf</t>
  </si>
  <si>
    <t>area</t>
  </si>
  <si>
    <t>Ha</t>
  </si>
  <si>
    <t>take 150mm of local rainfall, min needed before starting to plant</t>
  </si>
  <si>
    <t>leftover</t>
  </si>
  <si>
    <t>rain</t>
  </si>
  <si>
    <t>estimate</t>
  </si>
  <si>
    <t>last year ha</t>
  </si>
  <si>
    <t>last year</t>
  </si>
  <si>
    <t>for post 2001 plantings</t>
  </si>
  <si>
    <t>plant Oct</t>
  </si>
  <si>
    <t>Area planted regression</t>
  </si>
  <si>
    <t>Yield regression</t>
  </si>
  <si>
    <t xml:space="preserve"> yield (bales/ha)</t>
  </si>
  <si>
    <t>unsup</t>
  </si>
  <si>
    <t>July rain (mm)</t>
  </si>
  <si>
    <t>dec rain</t>
  </si>
  <si>
    <t>OLF+unsup</t>
  </si>
  <si>
    <t xml:space="preserve"> yield (bales)</t>
  </si>
  <si>
    <t>St George area regression</t>
  </si>
  <si>
    <t>Oct plant</t>
  </si>
  <si>
    <t>Supp</t>
  </si>
  <si>
    <t>Unsupp</t>
  </si>
  <si>
    <t>area t-1</t>
  </si>
  <si>
    <t>model input</t>
  </si>
  <si>
    <t>for 1998 to 2001 plantings</t>
  </si>
  <si>
    <t>Supplemented</t>
  </si>
  <si>
    <t>St George yield regression</t>
  </si>
  <si>
    <t>bales</t>
  </si>
  <si>
    <t>Area</t>
  </si>
  <si>
    <t>Supp+Unsupp</t>
  </si>
  <si>
    <t>Area (Ha)</t>
  </si>
  <si>
    <t>OLF+Unsupp (ML)</t>
  </si>
  <si>
    <t>Dirranbandi area regression</t>
  </si>
  <si>
    <t>GS allocation</t>
  </si>
  <si>
    <t>Supplementary</t>
  </si>
  <si>
    <t>HS allocation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</si>
  <si>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</si>
  <si>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</si>
  <si>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</si>
  <si>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</si>
  <si>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</si>
  <si>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</si>
  <si>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</si>
  <si>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</si>
  <si>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</si>
  <si>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</si>
  <si>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</si>
  <si>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</si>
  <si>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</si>
  <si>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</si>
  <si>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Cotton area (ha)</t>
  </si>
  <si>
    <t>cotton yield (bales)</t>
  </si>
  <si>
    <t>GS use</t>
  </si>
  <si>
    <t>Carryover</t>
  </si>
  <si>
    <t>Total</t>
  </si>
  <si>
    <t>2013-14</t>
  </si>
  <si>
    <t>Carryover at start of water season</t>
  </si>
  <si>
    <t>Allocation percentages</t>
  </si>
  <si>
    <t>Gsuse jul-oct</t>
  </si>
  <si>
    <t>Total water</t>
  </si>
  <si>
    <t>Add rainfall and area last year</t>
  </si>
  <si>
    <t>%carryover</t>
  </si>
  <si>
    <t>rain may-oct</t>
  </si>
  <si>
    <t>Average</t>
  </si>
  <si>
    <t>Cotton Australia data</t>
  </si>
  <si>
    <t>Yield (bales)</t>
  </si>
  <si>
    <t>6 mo prior to planting</t>
  </si>
  <si>
    <t>mm</t>
  </si>
  <si>
    <t>Planting year</t>
  </si>
  <si>
    <t>off-allocation</t>
  </si>
  <si>
    <t>FPH by pumping - off</t>
  </si>
  <si>
    <t>FPH by gravity</t>
  </si>
  <si>
    <t>FPH by pumping</t>
  </si>
  <si>
    <t>rain mm 6 mo prior plan</t>
  </si>
  <si>
    <t>off allocation</t>
  </si>
  <si>
    <t>FPH</t>
  </si>
  <si>
    <t>area planted (ha)</t>
  </si>
  <si>
    <t>area previous year</t>
  </si>
  <si>
    <t>general security</t>
  </si>
  <si>
    <t>high security</t>
  </si>
  <si>
    <t>rainfall</t>
  </si>
  <si>
    <t>floodplain harvest volume</t>
  </si>
  <si>
    <t xml:space="preserve">supplementary </t>
  </si>
  <si>
    <t>area planted</t>
  </si>
  <si>
    <t>GS</t>
  </si>
  <si>
    <t>99y</t>
  </si>
  <si>
    <t>00y</t>
  </si>
  <si>
    <t>01y</t>
  </si>
  <si>
    <t>02y</t>
  </si>
  <si>
    <t>03y</t>
  </si>
  <si>
    <t>04y</t>
  </si>
  <si>
    <t>05y</t>
  </si>
  <si>
    <t>06y</t>
  </si>
  <si>
    <t>07y</t>
  </si>
  <si>
    <t>08y</t>
  </si>
  <si>
    <t>09y</t>
  </si>
  <si>
    <t>10y</t>
  </si>
  <si>
    <t>11y</t>
  </si>
  <si>
    <t>12y</t>
  </si>
  <si>
    <t>13y</t>
  </si>
  <si>
    <t>actual yield</t>
  </si>
  <si>
    <t>model yield</t>
  </si>
  <si>
    <t>area (Ha)</t>
  </si>
  <si>
    <t>in-season rain</t>
  </si>
  <si>
    <t>in crop rain</t>
  </si>
  <si>
    <t>in-crop rain</t>
  </si>
  <si>
    <t>actual</t>
  </si>
  <si>
    <t>1997-98</t>
  </si>
  <si>
    <t>1998-99</t>
  </si>
  <si>
    <t>Warren</t>
  </si>
  <si>
    <t>bales/ha</t>
  </si>
  <si>
    <t>bales 2/3</t>
  </si>
  <si>
    <t>Warren ha</t>
  </si>
  <si>
    <t>Narromine/Trangie</t>
  </si>
  <si>
    <t>bales ginned</t>
  </si>
  <si>
    <t>ginned - condo bales</t>
  </si>
  <si>
    <t>total local bales</t>
  </si>
  <si>
    <t>GW use (ML)</t>
  </si>
  <si>
    <t>in crop rain (mm) nov-feb</t>
  </si>
  <si>
    <t>GW use/Ha dry years</t>
  </si>
  <si>
    <t>GSallcn 1 feb</t>
  </si>
  <si>
    <t>c/over %</t>
  </si>
  <si>
    <t>Ha of GW</t>
  </si>
  <si>
    <t>Ha from SW</t>
  </si>
  <si>
    <t>Area of irrigated cotton</t>
  </si>
  <si>
    <t>1997/98</t>
  </si>
  <si>
    <t>Lower Namoi CA data</t>
  </si>
  <si>
    <t>ABS Narrabri</t>
  </si>
  <si>
    <t>ABS Walgett</t>
  </si>
  <si>
    <t>incl. Walgett?</t>
  </si>
  <si>
    <t>S&amp;D</t>
  </si>
  <si>
    <t>GW</t>
  </si>
  <si>
    <t>LWU</t>
  </si>
  <si>
    <t>Reg River</t>
  </si>
  <si>
    <t>Suppl</t>
  </si>
  <si>
    <t>Unreg</t>
  </si>
  <si>
    <t>Gunnedah</t>
  </si>
  <si>
    <t>Boggabri</t>
  </si>
  <si>
    <t>Narrabri</t>
  </si>
  <si>
    <t>Wee Waa</t>
  </si>
  <si>
    <t>Pilliga</t>
  </si>
  <si>
    <t>Wee  Waa west</t>
  </si>
  <si>
    <t>Water entitlements (nominal)</t>
  </si>
  <si>
    <t>Year</t>
  </si>
  <si>
    <t>2014/15</t>
  </si>
  <si>
    <t>2015/16</t>
  </si>
  <si>
    <t>2016/17</t>
  </si>
  <si>
    <t>Upper Namoi Entitlement</t>
  </si>
  <si>
    <t>Lower Namoi Entitlement</t>
  </si>
  <si>
    <t>Use Upper Namoi</t>
  </si>
  <si>
    <t>Use Lower Namoi</t>
  </si>
  <si>
    <t>CA cotton area (ha)</t>
  </si>
  <si>
    <t>CA yield (bales)</t>
  </si>
  <si>
    <t>Industry est ha</t>
  </si>
  <si>
    <t>Industry est bales</t>
  </si>
  <si>
    <t>CA-industry ha</t>
  </si>
  <si>
    <t>(ML/mth)</t>
  </si>
  <si>
    <t xml:space="preserve">Average </t>
  </si>
  <si>
    <t>Diversions (ML/mth)</t>
  </si>
  <si>
    <t>GS for four months - jul, aug, sept, oct; FPH for 12 months nov-oct</t>
  </si>
  <si>
    <t>Month</t>
  </si>
  <si>
    <t xml:space="preserve">GS  </t>
  </si>
  <si>
    <t>For yields look at nov-mar for GS and FPH</t>
  </si>
  <si>
    <t>rain 6mo pre-plant mm</t>
  </si>
  <si>
    <t>area ha</t>
  </si>
  <si>
    <t>estimate ha</t>
  </si>
  <si>
    <t>3 mo prior to planting</t>
  </si>
  <si>
    <t>Moree area estimation</t>
  </si>
  <si>
    <t>oct allcn%</t>
  </si>
  <si>
    <t>est ha</t>
  </si>
  <si>
    <t>Collerenabri production</t>
  </si>
  <si>
    <t>GS on-alloc irrigation diversions in Namoi River from Mollee to Bugilbone(ML)</t>
  </si>
  <si>
    <t>GS off-alloc irrigation diversions  in Namoi River from Mollee to Bugilbone (ML)</t>
  </si>
  <si>
    <t>Flood plain harvesting wih no OFS in Namoi River from Mollee to Bugilbone (ML)</t>
  </si>
  <si>
    <t>Total Fixed demand  diversion in Namoi River from Mollee to Bugilbone  (ML)</t>
  </si>
  <si>
    <t>7GSNMLB</t>
  </si>
  <si>
    <t>7GSFMLB</t>
  </si>
  <si>
    <t>7FPHMLB</t>
  </si>
  <si>
    <t>7TFDMLB</t>
  </si>
  <si>
    <t>ML/m</t>
  </si>
  <si>
    <t>Plant Oct</t>
  </si>
  <si>
    <t>GS on-all</t>
  </si>
  <si>
    <t>GS off-all</t>
  </si>
  <si>
    <t>GS all</t>
  </si>
  <si>
    <t>rain oct-nov (mm)</t>
  </si>
  <si>
    <t>GW use</t>
  </si>
  <si>
    <t>rain nov-mar</t>
  </si>
  <si>
    <t>In-crop rain (mm)</t>
  </si>
  <si>
    <t>nov alloc'n (%)</t>
  </si>
  <si>
    <t>allocn %</t>
  </si>
  <si>
    <t>in-crop rain mm</t>
  </si>
  <si>
    <t>constant</t>
  </si>
  <si>
    <t>Equation for groundwater-based production</t>
  </si>
  <si>
    <t>GS alloc%</t>
  </si>
  <si>
    <t>ha irr cotton</t>
  </si>
  <si>
    <t>Total Area (ha)</t>
  </si>
  <si>
    <t>1 nov alloc%</t>
  </si>
  <si>
    <t>SW area (ha)</t>
  </si>
  <si>
    <t>GW area (ha)</t>
  </si>
  <si>
    <t>SW ha t-1</t>
  </si>
  <si>
    <t>SW ha</t>
  </si>
  <si>
    <t>ha t-1</t>
  </si>
  <si>
    <t>GS on-alloc</t>
  </si>
  <si>
    <t>GS off-alloc</t>
  </si>
  <si>
    <t>est Ha (all water)</t>
  </si>
  <si>
    <t>est Ha (no FPH)</t>
  </si>
  <si>
    <t>Macquarie-General security on- allocation-from Gin Gin Gauge to end</t>
  </si>
  <si>
    <t>8GGEGSN</t>
  </si>
  <si>
    <t>Macquarie – General security off-allocation-from Gin Gin Gauge to end</t>
  </si>
  <si>
    <t>8GGEGSF</t>
  </si>
  <si>
    <t>Macquarie – High security-from Gin Gin Gauge to end</t>
  </si>
  <si>
    <t>8GGEHSD</t>
  </si>
  <si>
    <t>Macquarie-Start of month effective allocation – GS on-allocation</t>
  </si>
  <si>
    <t>%</t>
  </si>
  <si>
    <t>area planted Ha</t>
  </si>
  <si>
    <t>GS on all</t>
  </si>
  <si>
    <t>GS off alloc</t>
  </si>
  <si>
    <t>Whole period regression</t>
  </si>
  <si>
    <t>98 or 99 to 2008-09</t>
  </si>
  <si>
    <t>actual Ha</t>
  </si>
  <si>
    <t>GS on allocn jul-mar</t>
  </si>
  <si>
    <t>GS off alloc jul-mar</t>
  </si>
  <si>
    <t>row P-200</t>
  </si>
  <si>
    <t>Warren rainfall</t>
  </si>
  <si>
    <t>rain previous nov-feb</t>
  </si>
  <si>
    <t>estimate Ha 98 to 08</t>
  </si>
  <si>
    <t>estimate ha 98 to 12</t>
  </si>
  <si>
    <t>orange - water too late for cotton?</t>
  </si>
  <si>
    <t>rain jan-mar (mm)</t>
  </si>
  <si>
    <t>jan to mar-av.</t>
  </si>
  <si>
    <t>92mm in nov by 6th of the month</t>
  </si>
  <si>
    <t>Apply a dummy variable to rainfall for high jan-mar of the 2004 planting year plus heavy rainfall in early nov (92mm up to 6th) to allow planting until around 20 nov, including dry straight after it</t>
  </si>
  <si>
    <t>GS on-alloc irrigation diversions in Namoi River from Boggabri to Mollee (ML)</t>
  </si>
  <si>
    <t>GS off-alloc irrigation diversions  in Namoi River from Boggabri to Mollee (ML)</t>
  </si>
  <si>
    <t>Flood plain harvesting wih no OFS in Namoi River from Boggabri to Mollee  (ML)</t>
  </si>
  <si>
    <t>7GSNBML</t>
  </si>
  <si>
    <t>7GSFBML</t>
  </si>
  <si>
    <t>7FPHBML</t>
  </si>
  <si>
    <t>Ha planted</t>
  </si>
  <si>
    <t>GS on-allocn</t>
  </si>
  <si>
    <t>GS off-allocn</t>
  </si>
  <si>
    <t>Trangie</t>
  </si>
  <si>
    <t>average</t>
  </si>
  <si>
    <t>Bourke BD</t>
  </si>
  <si>
    <t>Diversions (ML, prior 12 months)</t>
  </si>
  <si>
    <t>Area cotton (Ha)</t>
  </si>
  <si>
    <t>ML diverted</t>
  </si>
  <si>
    <t>Nov-mar mm</t>
  </si>
  <si>
    <t>ML/ha needed</t>
  </si>
  <si>
    <t>Av in-crop rainfall</t>
  </si>
  <si>
    <t>ML up to 2000</t>
  </si>
  <si>
    <t>ML from 2001</t>
  </si>
  <si>
    <t>Ha t-1</t>
  </si>
  <si>
    <t>est 1</t>
  </si>
  <si>
    <t>est 2</t>
  </si>
  <si>
    <t>Start vol (ML)</t>
  </si>
  <si>
    <t>1999-2013</t>
  </si>
  <si>
    <t>1999-2011</t>
  </si>
  <si>
    <t>est 3</t>
  </si>
  <si>
    <t>199-2008</t>
  </si>
  <si>
    <t>est 4</t>
  </si>
  <si>
    <t>start volume</t>
  </si>
  <si>
    <t>rain apr-oct</t>
  </si>
  <si>
    <t>start vol</t>
  </si>
  <si>
    <t>Totals</t>
  </si>
  <si>
    <t>Trangie rainfall</t>
  </si>
  <si>
    <t>[1] Narromine on-a</t>
  </si>
  <si>
    <t>[4] Narromine off-a</t>
  </si>
  <si>
    <t>[13] Narromine HS</t>
  </si>
  <si>
    <t xml:space="preserve">2012-13 </t>
  </si>
  <si>
    <t>2014-15</t>
  </si>
  <si>
    <t>GW use ML/annum</t>
  </si>
  <si>
    <t>Narromine rainfall</t>
  </si>
  <si>
    <t>GS on alloc</t>
  </si>
  <si>
    <t>GL</t>
  </si>
  <si>
    <t>Walgett</t>
  </si>
  <si>
    <t>Includes Pian Ck diversions plus Mollee to Bugilbone</t>
  </si>
  <si>
    <t>off-alloc</t>
  </si>
  <si>
    <t>off-allocn</t>
  </si>
  <si>
    <t>on-allocn</t>
  </si>
  <si>
    <t>est Ha</t>
  </si>
  <si>
    <t>on-alloc</t>
  </si>
  <si>
    <t>GW use for upper Namoi</t>
  </si>
  <si>
    <t>BD diversions</t>
  </si>
  <si>
    <t>BD diversion</t>
  </si>
  <si>
    <t>From Lower Macquarie Groundwater entitlements and use 2006-07</t>
  </si>
  <si>
    <t>estimates</t>
  </si>
  <si>
    <t>estimates for 2003-04 to 2005-06</t>
  </si>
  <si>
    <t>Trangie GW use</t>
  </si>
  <si>
    <t>ML GW</t>
  </si>
  <si>
    <t>Ha cotton</t>
  </si>
  <si>
    <t>rain in season</t>
  </si>
  <si>
    <t>ML GW use = fn of ha cotton planted + in-season rain</t>
  </si>
  <si>
    <t>HS</t>
  </si>
  <si>
    <t>in-season rain minus average</t>
  </si>
  <si>
    <t>Ha from GW</t>
  </si>
  <si>
    <t>cotton Ha</t>
  </si>
  <si>
    <t>GW Ha</t>
  </si>
  <si>
    <t>Assume 9ML of water use per ha, varying with in-crop rainfall; 33,000 ML GW use 1999-2002</t>
  </si>
  <si>
    <t>SW Ha</t>
  </si>
  <si>
    <t>HS ML</t>
  </si>
  <si>
    <t>HS Ha</t>
  </si>
  <si>
    <t>GS/FPH Ha</t>
  </si>
  <si>
    <t>rain - av</t>
  </si>
  <si>
    <t>crop rain-av</t>
  </si>
  <si>
    <t>1999 to 2009</t>
  </si>
  <si>
    <t>Collarenebri water balance</t>
  </si>
  <si>
    <t>ML/ha</t>
  </si>
  <si>
    <t>in-crop rain (mm)</t>
  </si>
  <si>
    <t>in-crop diversions</t>
  </si>
  <si>
    <t>surplus</t>
  </si>
  <si>
    <t>Av water use per ha to 2002</t>
  </si>
  <si>
    <t>Post 2002</t>
  </si>
  <si>
    <t>prior 6mo</t>
  </si>
  <si>
    <t>5% of Gwydir</t>
  </si>
  <si>
    <t>actual ha</t>
  </si>
  <si>
    <t>Dummy variable for carryover from 1999 into 2000</t>
  </si>
  <si>
    <t>2000 dummy</t>
  </si>
  <si>
    <t>Ha est</t>
  </si>
  <si>
    <t>2000 storage dummy</t>
  </si>
  <si>
    <t xml:space="preserve">Boggabri </t>
  </si>
  <si>
    <t>in-crop mm</t>
  </si>
  <si>
    <t>Averages</t>
  </si>
  <si>
    <t>GW area</t>
  </si>
  <si>
    <t>SW area</t>
  </si>
  <si>
    <t>6 months prior to plant (mm)</t>
  </si>
  <si>
    <t>2002 is like 2006, only worse</t>
  </si>
  <si>
    <t>2000 and 2001 are like 2011</t>
  </si>
  <si>
    <t>1999 is like 2010</t>
  </si>
  <si>
    <t>est GW use</t>
  </si>
  <si>
    <t>rain pre-plant</t>
  </si>
  <si>
    <t>est</t>
  </si>
  <si>
    <t>pre-crop rain</t>
  </si>
  <si>
    <t>total Ha</t>
  </si>
  <si>
    <t>alloc % GS</t>
  </si>
  <si>
    <t>rule</t>
  </si>
  <si>
    <t>GS alloc %</t>
  </si>
  <si>
    <t>GW Ha plant</t>
  </si>
  <si>
    <t>Total Ha</t>
  </si>
  <si>
    <t>GW ha</t>
  </si>
  <si>
    <t>extra ML</t>
  </si>
  <si>
    <t>apr-nov mm</t>
  </si>
  <si>
    <t>GS off-all, FPH, BD</t>
  </si>
  <si>
    <t>pre-plant rain</t>
  </si>
  <si>
    <t>Gwydir GS</t>
  </si>
  <si>
    <t>Gwydir off-all</t>
  </si>
  <si>
    <t>Gwydir FPH</t>
  </si>
  <si>
    <t>GW use ML</t>
  </si>
  <si>
    <t>Namoi alloc %</t>
  </si>
  <si>
    <t>GS alloc</t>
  </si>
  <si>
    <t>prior to plant</t>
  </si>
  <si>
    <t>prior rain</t>
  </si>
  <si>
    <t>GS off-alloc + FPH</t>
  </si>
  <si>
    <t>GS off-alloc+FPH</t>
  </si>
  <si>
    <t>BD ML</t>
  </si>
  <si>
    <t>M-Unsuppl</t>
  </si>
  <si>
    <t>M-OLF</t>
  </si>
  <si>
    <t>M-GS on-alloc</t>
  </si>
  <si>
    <t>M-GS off-alloc</t>
  </si>
  <si>
    <t>M-FPH</t>
  </si>
  <si>
    <t>Qld-Goondiwindi</t>
  </si>
  <si>
    <t>NSW-Goondiwindi</t>
  </si>
  <si>
    <t>Date</t>
  </si>
  <si>
    <t>G-medium</t>
  </si>
  <si>
    <t>G-unsuppl</t>
  </si>
  <si>
    <t>G-OLF</t>
  </si>
  <si>
    <t>G-GS on-alloc</t>
  </si>
  <si>
    <t>G-GS off-alloc</t>
  </si>
  <si>
    <t>G-FPH</t>
  </si>
  <si>
    <t>all other sources</t>
  </si>
  <si>
    <t>G GS on-alloc</t>
  </si>
  <si>
    <t>jan-mar yr before</t>
  </si>
  <si>
    <t>Ha est 1</t>
  </si>
  <si>
    <t>Ha est 2</t>
  </si>
  <si>
    <t>in-crop yr before</t>
  </si>
  <si>
    <t>7 mo prior to plant</t>
  </si>
  <si>
    <t>in crop yr before</t>
  </si>
  <si>
    <t>Ha est 3</t>
  </si>
  <si>
    <t>Qld MS</t>
  </si>
  <si>
    <t>NSW GS</t>
  </si>
  <si>
    <t>unreg sources</t>
  </si>
  <si>
    <t>6 mo prior</t>
  </si>
  <si>
    <t>jan-mar prior</t>
  </si>
  <si>
    <t>NSW GS+Qld MS</t>
  </si>
  <si>
    <t>GS + MS</t>
  </si>
  <si>
    <t>unreg water</t>
  </si>
  <si>
    <t>Water balance approach</t>
  </si>
  <si>
    <t>minimum in-season rain (mm)</t>
  </si>
  <si>
    <t>ML/ha =</t>
  </si>
  <si>
    <t>leftover ML</t>
  </si>
  <si>
    <t>SW area est</t>
  </si>
  <si>
    <t>total mm</t>
  </si>
  <si>
    <t>GW use ML/ha =</t>
  </si>
  <si>
    <t>with average rainfall</t>
  </si>
  <si>
    <t>rain v aver</t>
  </si>
  <si>
    <t>ML/ha + rain</t>
  </si>
  <si>
    <t>GW Ha est</t>
  </si>
  <si>
    <t>SW Ha est</t>
  </si>
  <si>
    <t>dummy</t>
  </si>
  <si>
    <t>1999-2012</t>
  </si>
  <si>
    <t>1999-2009</t>
  </si>
  <si>
    <t>plant in</t>
  </si>
  <si>
    <t>est 2 Ha</t>
  </si>
  <si>
    <t>est SW Ha</t>
  </si>
  <si>
    <t>HS area</t>
  </si>
  <si>
    <t>GS area</t>
  </si>
  <si>
    <t>GS water</t>
  </si>
  <si>
    <t>rain oct-feb</t>
  </si>
  <si>
    <t>up to 05-06</t>
  </si>
  <si>
    <t>from 06-07</t>
  </si>
  <si>
    <t>leftover water</t>
  </si>
  <si>
    <t>Allocn %</t>
  </si>
  <si>
    <t>core area 2</t>
  </si>
  <si>
    <t>core area 1</t>
  </si>
  <si>
    <t>core Ha 1</t>
  </si>
  <si>
    <t>core Ha 2</t>
  </si>
  <si>
    <t>actual Ha planted</t>
  </si>
  <si>
    <t>est of potential</t>
  </si>
  <si>
    <t>Rule - 2 years in a row of less than 70% allocation at end of October then don't plant the core area; just respond to GS allocations</t>
  </si>
  <si>
    <t>Core areas to be based on volume of entitlements available for production before and after Cth water recovery</t>
  </si>
  <si>
    <t>SW Ha core Ha</t>
  </si>
  <si>
    <t>potential Ha</t>
  </si>
  <si>
    <t>2000 carryover</t>
  </si>
  <si>
    <t>Alternative approach on GW (as per Narromine and Trangie)</t>
  </si>
  <si>
    <t>GW est</t>
  </si>
  <si>
    <t>Total area</t>
  </si>
  <si>
    <t>Boggabri in AP17; Gunnedah in BT54 - limited role for surface water except in very high water availability years</t>
  </si>
  <si>
    <t>Bourke in BD19</t>
  </si>
  <si>
    <t>apr-oct mm</t>
  </si>
  <si>
    <t>unreg</t>
  </si>
  <si>
    <t>All unreg</t>
  </si>
  <si>
    <t>unreg ML</t>
  </si>
  <si>
    <t>acutal SW ha</t>
  </si>
  <si>
    <t>est SW ha</t>
  </si>
  <si>
    <t>est D 2000</t>
  </si>
  <si>
    <t>2000 D</t>
  </si>
  <si>
    <t>GS on+off alloc</t>
  </si>
  <si>
    <t>Ha off GW</t>
  </si>
  <si>
    <t>All GS</t>
  </si>
  <si>
    <t>Core Ha 1</t>
  </si>
  <si>
    <t>Core Ha 2</t>
  </si>
  <si>
    <t>est of Ha</t>
  </si>
  <si>
    <t>core ha 1</t>
  </si>
  <si>
    <t>core ha 2</t>
  </si>
  <si>
    <t>est SW Ha 1999-2010</t>
  </si>
  <si>
    <t>Weir R</t>
  </si>
  <si>
    <t>unreg BR</t>
  </si>
  <si>
    <t>ha est</t>
  </si>
  <si>
    <t>water balance</t>
  </si>
  <si>
    <t>start water</t>
  </si>
  <si>
    <t>diff to mean</t>
  </si>
  <si>
    <t>ha planted</t>
  </si>
  <si>
    <t>irrigation needs</t>
  </si>
  <si>
    <t>irrigation applied</t>
  </si>
  <si>
    <t>season in-flows</t>
  </si>
  <si>
    <t>store to following year</t>
  </si>
  <si>
    <t>irrigation water use=</t>
  </si>
  <si>
    <t>var irr needs</t>
  </si>
  <si>
    <t>unreg start</t>
  </si>
  <si>
    <t>GS on</t>
  </si>
  <si>
    <t>in crop year before</t>
  </si>
  <si>
    <t>rain 7 mo prior</t>
  </si>
  <si>
    <t>prior 7 mo</t>
  </si>
  <si>
    <t>est3</t>
  </si>
  <si>
    <t>rain in-crop year before</t>
  </si>
  <si>
    <t>2005 dummy</t>
  </si>
  <si>
    <t>GS start</t>
  </si>
  <si>
    <t>6 mo prior to plant</t>
  </si>
  <si>
    <t>2008 dummy</t>
  </si>
  <si>
    <t>est 1 ha</t>
  </si>
  <si>
    <t>ln unreg start</t>
  </si>
  <si>
    <t>est 2 ha</t>
  </si>
  <si>
    <t>est 4 Ha</t>
  </si>
  <si>
    <t>dummy 2005</t>
  </si>
  <si>
    <t>dummy 2008</t>
  </si>
  <si>
    <t>est 5</t>
  </si>
  <si>
    <t>adjusted R^2</t>
  </si>
  <si>
    <t>in crop rain prior year</t>
  </si>
  <si>
    <t>ln unreg</t>
  </si>
  <si>
    <t>est*</t>
  </si>
  <si>
    <t>cents/kg</t>
  </si>
  <si>
    <t>000 Ha planted</t>
  </si>
  <si>
    <t>Correlation</t>
  </si>
  <si>
    <t>est5</t>
  </si>
  <si>
    <t>M-unsupp</t>
  </si>
  <si>
    <t>est 6</t>
  </si>
  <si>
    <t>est 7</t>
  </si>
  <si>
    <t>est 8</t>
  </si>
  <si>
    <t>in crop year prior</t>
  </si>
  <si>
    <t>est 9</t>
  </si>
  <si>
    <t>est 10</t>
  </si>
  <si>
    <t>est 11</t>
  </si>
  <si>
    <t>est 12</t>
  </si>
  <si>
    <t>in-crop year prior</t>
  </si>
  <si>
    <t>Goondiwindi in DX18</t>
  </si>
  <si>
    <t>in-crop rain year prior</t>
  </si>
  <si>
    <t>Mungindi in EE18</t>
  </si>
  <si>
    <t>est**</t>
  </si>
  <si>
    <t>start vol (ML)</t>
  </si>
  <si>
    <t>2004 var</t>
  </si>
  <si>
    <t>2001, 2005 var</t>
  </si>
  <si>
    <t>2002,06 var</t>
  </si>
  <si>
    <t>2005 var</t>
  </si>
  <si>
    <t>All greater than 99% confidence level</t>
  </si>
  <si>
    <t>All greater than 99.5% confidence level</t>
  </si>
  <si>
    <t>both greater than 99.5% confidence level</t>
  </si>
  <si>
    <t>all greater than 99% confidence level</t>
  </si>
  <si>
    <t>D1 (2000)</t>
  </si>
  <si>
    <t>oct-nov rain (mm)</t>
  </si>
  <si>
    <t>total in-crop water</t>
  </si>
  <si>
    <t>Bales</t>
  </si>
  <si>
    <t>Area Ha</t>
  </si>
  <si>
    <t>Ln total in-crop water</t>
  </si>
  <si>
    <t>N-F rain</t>
  </si>
  <si>
    <t>N-F OLF</t>
  </si>
  <si>
    <t>N-F WH</t>
  </si>
  <si>
    <t>bales estimate</t>
  </si>
  <si>
    <t>as the variable components</t>
  </si>
  <si>
    <t>plus rainfall plus water relative to entitlements</t>
  </si>
  <si>
    <t>function of water in storage as a constant</t>
  </si>
  <si>
    <t>water available</t>
  </si>
  <si>
    <t>water available during the cropping period</t>
  </si>
  <si>
    <t>In-crop rain (mm-200)</t>
  </si>
  <si>
    <t>Total in-crop water</t>
  </si>
  <si>
    <t>Water available per planted Ha in ML</t>
  </si>
  <si>
    <t>Area in AT153, Yield in CG128</t>
  </si>
  <si>
    <t>both 99.5% confidence level</t>
  </si>
  <si>
    <t>2001, 2011 var</t>
  </si>
  <si>
    <t>2001,2011 var</t>
  </si>
  <si>
    <t>2003 ha var</t>
  </si>
  <si>
    <t>Area function for Moree starts at cell m145; Collarenebri in EH18</t>
  </si>
  <si>
    <t>all significant at 99.5% confidence level</t>
  </si>
  <si>
    <t>F-stat</t>
  </si>
  <si>
    <t>F stat</t>
  </si>
  <si>
    <t xml:space="preserve">first two significant at 90% level, unsupp at 99% level, problem with supp water </t>
  </si>
  <si>
    <t>Narromine in EG84; Trangie in CK84; Warren in BB38</t>
  </si>
  <si>
    <t>Unsupp+Supp</t>
  </si>
  <si>
    <t>Supp+unsupp</t>
  </si>
  <si>
    <t>ha variable</t>
  </si>
  <si>
    <t>Area in AE57, Yield in BP57</t>
  </si>
  <si>
    <t>2002,6,8 Ha var</t>
  </si>
  <si>
    <t>Ha variable</t>
  </si>
  <si>
    <t>Ha est*</t>
  </si>
  <si>
    <t>2000,11,13 Ha variable</t>
  </si>
  <si>
    <t>Wee Waa in BT18; Narrabri in DS18; Walgett in HF21</t>
  </si>
  <si>
    <t>Indusry Lwr Nam</t>
  </si>
  <si>
    <t>Industry Walgett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</si>
</sst>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0.0"/>
    <numFmt numFmtId="166" formatCode="#,##0;[Red]\(#,##0\)"/>
    <numFmt numFmtId="167" formatCode="#,##0.0;[Red]\(#,##0.0\)"/>
    <numFmt numFmtId="168" formatCode="_-* #,##0_-;\-* #,##0_-;_-* &quot;-&quot;??_-;_-@_-"/>
    <numFmt numFmtId="169" formatCode="#,##0;[Red]\(#,##0\);\-"/>
    <numFmt numFmtId="170" formatCode="#,##0.000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3" fontId="1" fillId="0" borderId="0" xfId="0" applyNumberFormat="1" applyFont="1" applyFill="1" applyBorder="1"/>
    <xf numFmtId="3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NumberFormat="1"/>
    <xf numFmtId="1" fontId="0" fillId="0" borderId="0" xfId="0" applyNumberFormat="1"/>
    <xf numFmtId="0" fontId="4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2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2" fontId="0" fillId="0" borderId="0" xfId="1" applyNumberFormat="1" applyFont="1"/>
    <xf numFmtId="2" fontId="0" fillId="0" borderId="0" xfId="0" applyNumberFormat="1" applyAlignment="1">
      <alignment horizontal="right"/>
    </xf>
    <xf numFmtId="165" fontId="0" fillId="0" borderId="0" xfId="0" applyNumberFormat="1"/>
    <xf numFmtId="4" fontId="0" fillId="0" borderId="0" xfId="0" applyNumberFormat="1"/>
    <xf numFmtId="1" fontId="3" fillId="0" borderId="0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166" fontId="8" fillId="0" borderId="1" xfId="0" applyNumberFormat="1" applyFont="1" applyBorder="1"/>
    <xf numFmtId="166" fontId="8" fillId="0" borderId="1" xfId="2" applyNumberFormat="1" applyFont="1" applyBorder="1"/>
    <xf numFmtId="166" fontId="8" fillId="0" borderId="1" xfId="3" applyNumberFormat="1" applyFont="1" applyBorder="1"/>
    <xf numFmtId="166" fontId="8" fillId="0" borderId="1" xfId="4" applyNumberFormat="1" applyFont="1" applyBorder="1"/>
    <xf numFmtId="166" fontId="8" fillId="0" borderId="1" xfId="5" applyNumberFormat="1" applyFont="1" applyBorder="1"/>
    <xf numFmtId="166" fontId="0" fillId="0" borderId="0" xfId="0" applyNumberFormat="1"/>
    <xf numFmtId="167" fontId="8" fillId="0" borderId="0" xfId="0" applyNumberFormat="1" applyFont="1" applyBorder="1"/>
    <xf numFmtId="167" fontId="8" fillId="0" borderId="0" xfId="2" applyNumberFormat="1" applyFont="1" applyBorder="1"/>
    <xf numFmtId="167" fontId="8" fillId="0" borderId="0" xfId="3" applyNumberFormat="1" applyFont="1" applyBorder="1"/>
    <xf numFmtId="167" fontId="8" fillId="0" borderId="0" xfId="4" applyNumberFormat="1" applyFont="1" applyBorder="1"/>
    <xf numFmtId="167" fontId="8" fillId="0" borderId="0" xfId="5" applyNumberFormat="1" applyFont="1" applyBorder="1"/>
    <xf numFmtId="167" fontId="8" fillId="0" borderId="0" xfId="0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8" fontId="0" fillId="0" borderId="0" xfId="6" applyNumberFormat="1" applyFont="1"/>
    <xf numFmtId="168" fontId="0" fillId="0" borderId="0" xfId="0" applyNumberFormat="1"/>
    <xf numFmtId="165" fontId="0" fillId="2" borderId="0" xfId="0" applyNumberFormat="1" applyFill="1"/>
    <xf numFmtId="3" fontId="0" fillId="2" borderId="0" xfId="0" applyNumberFormat="1" applyFill="1"/>
    <xf numFmtId="0" fontId="0" fillId="0" borderId="0" xfId="0" applyAlignment="1">
      <alignment horizontal="center"/>
    </xf>
    <xf numFmtId="0" fontId="0" fillId="3" borderId="0" xfId="0" applyFill="1"/>
    <xf numFmtId="0" fontId="2" fillId="0" borderId="0" xfId="0" applyFont="1"/>
    <xf numFmtId="169" fontId="0" fillId="0" borderId="0" xfId="0" applyNumberFormat="1"/>
    <xf numFmtId="3" fontId="0" fillId="4" borderId="0" xfId="0" applyNumberFormat="1" applyFill="1"/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2" fillId="5" borderId="2" xfId="0" applyFont="1" applyFill="1" applyBorder="1"/>
    <xf numFmtId="0" fontId="2" fillId="5" borderId="0" xfId="0" applyFont="1" applyFill="1" applyBorder="1" applyAlignment="1">
      <alignment horizontal="center"/>
    </xf>
    <xf numFmtId="17" fontId="0" fillId="0" borderId="0" xfId="0" applyNumberFormat="1"/>
    <xf numFmtId="1" fontId="0" fillId="0" borderId="0" xfId="0" applyNumberFormat="1" applyAlignment="1">
      <alignment horizontal="right"/>
    </xf>
    <xf numFmtId="17" fontId="0" fillId="0" borderId="0" xfId="0" applyNumberFormat="1" applyFont="1"/>
    <xf numFmtId="3" fontId="0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0" fillId="0" borderId="3" xfId="0" applyNumberForma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0" applyNumberFormat="1"/>
    <xf numFmtId="9" fontId="0" fillId="0" borderId="0" xfId="7" applyFont="1"/>
    <xf numFmtId="3" fontId="1" fillId="0" borderId="0" xfId="0" applyNumberFormat="1" applyFont="1" applyFill="1" applyBorder="1" applyAlignment="1">
      <alignment horizontal="right"/>
    </xf>
    <xf numFmtId="170" fontId="0" fillId="0" borderId="0" xfId="0" applyNumberFormat="1"/>
    <xf numFmtId="0" fontId="0" fillId="0" borderId="0" xfId="0" applyFill="1" applyAlignment="1">
      <alignment horizontal="right"/>
    </xf>
    <xf numFmtId="1" fontId="0" fillId="0" borderId="0" xfId="0" applyNumberFormat="1" applyFont="1"/>
    <xf numFmtId="0" fontId="0" fillId="0" borderId="0" xfId="0" quotePrefix="1"/>
    <xf numFmtId="0" fontId="0" fillId="0" borderId="0" xfId="0" applyFont="1"/>
    <xf numFmtId="9" fontId="0" fillId="0" borderId="0" xfId="0" applyNumberFormat="1"/>
    <xf numFmtId="10" fontId="0" fillId="0" borderId="0" xfId="0" applyNumberFormat="1"/>
    <xf numFmtId="3" fontId="1" fillId="6" borderId="0" xfId="0" applyNumberFormat="1" applyFont="1" applyFill="1" applyBorder="1"/>
    <xf numFmtId="171" fontId="0" fillId="0" borderId="0" xfId="0" applyNumberFormat="1"/>
  </cellXfs>
  <cellStyles count="8">
    <cellStyle name="Comma" xfId="6" builtinId="3"/>
    <cellStyle name="Currency" xfId="1" builtinId="4"/>
    <cellStyle name="Normal" xfId="0" builtinId="0"/>
    <cellStyle name="Normal_Macquarie Cudgegong AWD Summary Report 200809" xfId="2"/>
    <cellStyle name="Normal_Macquarie Cudgegong AWD Summary Report 200910" xfId="3"/>
    <cellStyle name="Normal_Macquarie_AWD_Summary_201011" xfId="4"/>
    <cellStyle name="Normal_Macquarie_AWD_Summary_201112" xfId="5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Gwydir!$J$44</c:f>
              <c:strCache>
                <c:ptCount val="1"/>
                <c:pt idx="0">
                  <c:v>area planted (ha)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Gwydir!$J$45:$J$59</c:f>
              <c:numCache>
                <c:formatCode>#,##0</c:formatCode>
                <c:ptCount val="15"/>
                <c:pt idx="0">
                  <c:v>57102.56274049457</c:v>
                </c:pt>
                <c:pt idx="1">
                  <c:v>64062.260465002088</c:v>
                </c:pt>
                <c:pt idx="2">
                  <c:v>55624.709759260477</c:v>
                </c:pt>
                <c:pt idx="3">
                  <c:v>28891</c:v>
                </c:pt>
                <c:pt idx="4">
                  <c:v>17127</c:v>
                </c:pt>
                <c:pt idx="5">
                  <c:v>37022.200000000012</c:v>
                </c:pt>
                <c:pt idx="6">
                  <c:v>45696</c:v>
                </c:pt>
                <c:pt idx="7">
                  <c:v>21990</c:v>
                </c:pt>
                <c:pt idx="8">
                  <c:v>6752.869999999999</c:v>
                </c:pt>
                <c:pt idx="9">
                  <c:v>22024</c:v>
                </c:pt>
                <c:pt idx="10">
                  <c:v>19512.88</c:v>
                </c:pt>
                <c:pt idx="11">
                  <c:v>40425.879999999997</c:v>
                </c:pt>
                <c:pt idx="12">
                  <c:v>43791.020000000004</c:v>
                </c:pt>
                <c:pt idx="13">
                  <c:v>49144.070000000007</c:v>
                </c:pt>
                <c:pt idx="14">
                  <c:v>51727.76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Gwydir!$K$44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Gwydir!$K$45:$K$59</c:f>
              <c:numCache>
                <c:formatCode>General</c:formatCode>
                <c:ptCount val="15"/>
              </c:numCache>
            </c:numRef>
          </c:val>
          <c:smooth val="0"/>
        </c:ser>
        <c:ser>
          <c:idx val="2"/>
          <c:order val="2"/>
          <c:tx>
            <c:strRef>
              <c:f>Gwydir!$L$44</c:f>
              <c:strCache>
                <c:ptCount val="1"/>
                <c:pt idx="0">
                  <c:v>estimate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Gwydir!$L$45:$L$59</c:f>
              <c:numCache>
                <c:formatCode>#,##0</c:formatCode>
                <c:ptCount val="15"/>
                <c:pt idx="0">
                  <c:v>56371.551603665466</c:v>
                </c:pt>
                <c:pt idx="1">
                  <c:v>46570.920636415249</c:v>
                </c:pt>
                <c:pt idx="2">
                  <c:v>57242.102679293224</c:v>
                </c:pt>
                <c:pt idx="3">
                  <c:v>42176.09365548355</c:v>
                </c:pt>
                <c:pt idx="4">
                  <c:v>26233.841980533074</c:v>
                </c:pt>
                <c:pt idx="5">
                  <c:v>33436.306237069221</c:v>
                </c:pt>
                <c:pt idx="6">
                  <c:v>42513.439306837143</c:v>
                </c:pt>
                <c:pt idx="7">
                  <c:v>24508.551852851622</c:v>
                </c:pt>
                <c:pt idx="8">
                  <c:v>19905.362702214708</c:v>
                </c:pt>
                <c:pt idx="9">
                  <c:v>22120.422904769246</c:v>
                </c:pt>
                <c:pt idx="10">
                  <c:v>12810.227945930492</c:v>
                </c:pt>
                <c:pt idx="11">
                  <c:v>41180.342875030605</c:v>
                </c:pt>
                <c:pt idx="12">
                  <c:v>43292.363875008741</c:v>
                </c:pt>
                <c:pt idx="13">
                  <c:v>49139.4549681731</c:v>
                </c:pt>
                <c:pt idx="14">
                  <c:v>51143.858535812316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957880"/>
        <c:axId val="279980200"/>
      </c:lineChart>
      <c:catAx>
        <c:axId val="279957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80200"/>
        <c:crosses val="autoZero"/>
        <c:auto val="1"/>
        <c:lblAlgn val="ctr"/>
        <c:lblOffset val="100"/>
        <c:noMultiLvlLbl val="0"/>
      </c:catAx>
      <c:valAx>
        <c:axId val="27998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5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Gwydir!$AB$44</c:f>
              <c:strCache>
                <c:ptCount val="1"/>
                <c:pt idx="0">
                  <c:v>actual yield</c:v>
                </c:pt>
              </c:strCache>
            </c:strRef>
          </c:tx>
          <c:marker>
            <c:symbol val="none"/>
          </c:marker>
          <c:val>
            <c:numRef>
              <c:f>Gwydir!$AB$45:$AB$59</c:f>
              <c:numCache>
                <c:formatCode>_-* #,##0_-;\-* #,##0_-;_-* "-"??_-;_-@_-</c:formatCode>
                <c:ptCount val="15"/>
                <c:pt idx="0">
                  <c:v>731000</c:v>
                </c:pt>
                <c:pt idx="1">
                  <c:v>690600</c:v>
                </c:pt>
                <c:pt idx="2">
                  <c:v>727600</c:v>
                </c:pt>
                <c:pt idx="3">
                  <c:v>365000</c:v>
                </c:pt>
                <c:pt idx="4">
                  <c:v>188000</c:v>
                </c:pt>
                <c:pt idx="5">
                  <c:v>500000</c:v>
                </c:pt>
                <c:pt idx="6">
                  <c:v>545000</c:v>
                </c:pt>
                <c:pt idx="7">
                  <c:v>275000</c:v>
                </c:pt>
                <c:pt idx="8">
                  <c:v>103000</c:v>
                </c:pt>
                <c:pt idx="9">
                  <c:v>278000</c:v>
                </c:pt>
                <c:pt idx="10">
                  <c:v>238875</c:v>
                </c:pt>
                <c:pt idx="11">
                  <c:v>511560</c:v>
                </c:pt>
                <c:pt idx="12">
                  <c:v>456000</c:v>
                </c:pt>
                <c:pt idx="13">
                  <c:v>800800</c:v>
                </c:pt>
                <c:pt idx="14">
                  <c:v>677257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Gwydir!$AC$44</c:f>
              <c:strCache>
                <c:ptCount val="1"/>
                <c:pt idx="0">
                  <c:v>model yield</c:v>
                </c:pt>
              </c:strCache>
            </c:strRef>
          </c:tx>
          <c:marker>
            <c:symbol val="none"/>
          </c:marker>
          <c:val>
            <c:numRef>
              <c:f>Gwydir!$AC$45:$AC$59</c:f>
              <c:numCache>
                <c:formatCode>_-* #,##0_-;\-* #,##0_-;_-* "-"??_-;_-@_-</c:formatCode>
                <c:ptCount val="15"/>
                <c:pt idx="0">
                  <c:v>824204.74453468248</c:v>
                </c:pt>
                <c:pt idx="1">
                  <c:v>732790.36824596208</c:v>
                </c:pt>
                <c:pt idx="2">
                  <c:v>766829.37588463048</c:v>
                </c:pt>
                <c:pt idx="3">
                  <c:v>378453.45462012425</c:v>
                </c:pt>
                <c:pt idx="4">
                  <c:v>235340.84135520295</c:v>
                </c:pt>
                <c:pt idx="5">
                  <c:v>423990.29071620572</c:v>
                </c:pt>
                <c:pt idx="6">
                  <c:v>550346.34412407293</c:v>
                </c:pt>
                <c:pt idx="7">
                  <c:v>271106.95283607702</c:v>
                </c:pt>
                <c:pt idx="8">
                  <c:v>149373.61141962645</c:v>
                </c:pt>
                <c:pt idx="9">
                  <c:v>261318.6021126642</c:v>
                </c:pt>
                <c:pt idx="10">
                  <c:v>220936.69399638899</c:v>
                </c:pt>
                <c:pt idx="11">
                  <c:v>470336.03120898915</c:v>
                </c:pt>
                <c:pt idx="12">
                  <c:v>444216.84786366409</c:v>
                </c:pt>
                <c:pt idx="13">
                  <c:v>703922.42443680216</c:v>
                </c:pt>
                <c:pt idx="14">
                  <c:v>630469.81202405691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9924088"/>
        <c:axId val="280845712"/>
      </c:lineChart>
      <c:catAx>
        <c:axId val="279924088"/>
        <c:scaling>
          <c:orientation val="minMax"/>
        </c:scaling>
        <c:delete val="0"/>
        <c:axPos val="b"/>
        <c:majorTickMark val="out"/>
        <c:minorTickMark val="none"/>
        <c:tickLblPos val="nextTo"/>
        <c:crossAx val="280845712"/>
        <c:crosses val="autoZero"/>
        <c:auto val="1"/>
        <c:lblAlgn val="ctr"/>
        <c:lblOffset val="100"/>
        <c:noMultiLvlLbl val="0"/>
      </c:catAx>
      <c:valAx>
        <c:axId val="28084571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crossAx val="279924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Gwydir!$AY$3</c:f>
              <c:strCache>
                <c:ptCount val="1"/>
                <c:pt idx="0">
                  <c:v>area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Gwydir!$AX$4:$AX$18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Gwydir!$AY$4:$AY$18</c:f>
              <c:numCache>
                <c:formatCode>General</c:formatCode>
                <c:ptCount val="15"/>
                <c:pt idx="0">
                  <c:v>44590</c:v>
                </c:pt>
                <c:pt idx="1">
                  <c:v>45741</c:v>
                </c:pt>
                <c:pt idx="2">
                  <c:v>62541</c:v>
                </c:pt>
                <c:pt idx="3">
                  <c:v>42588</c:v>
                </c:pt>
                <c:pt idx="4">
                  <c:v>26394</c:v>
                </c:pt>
                <c:pt idx="5">
                  <c:v>35615</c:v>
                </c:pt>
                <c:pt idx="6">
                  <c:v>42153</c:v>
                </c:pt>
                <c:pt idx="7">
                  <c:v>23811</c:v>
                </c:pt>
                <c:pt idx="8">
                  <c:v>18458</c:v>
                </c:pt>
                <c:pt idx="9">
                  <c:v>20228</c:v>
                </c:pt>
                <c:pt idx="10">
                  <c:v>23900</c:v>
                </c:pt>
                <c:pt idx="11">
                  <c:v>51500</c:v>
                </c:pt>
                <c:pt idx="12">
                  <c:v>50607</c:v>
                </c:pt>
                <c:pt idx="13">
                  <c:v>67361</c:v>
                </c:pt>
                <c:pt idx="14">
                  <c:v>63247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Gwydir!$AZ$3</c:f>
              <c:strCache>
                <c:ptCount val="1"/>
                <c:pt idx="0">
                  <c:v>estimate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Gwydir!$AX$4:$AX$18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Gwydir!$AZ$4:$AZ$18</c:f>
              <c:numCache>
                <c:formatCode>#,##0</c:formatCode>
                <c:ptCount val="15"/>
                <c:pt idx="0">
                  <c:v>56174.46940033487</c:v>
                </c:pt>
                <c:pt idx="1">
                  <c:v>35052.698652534389</c:v>
                </c:pt>
                <c:pt idx="2">
                  <c:v>61070.101630786798</c:v>
                </c:pt>
                <c:pt idx="3">
                  <c:v>27831.515678321332</c:v>
                </c:pt>
                <c:pt idx="4">
                  <c:v>24123.211629958227</c:v>
                </c:pt>
                <c:pt idx="5">
                  <c:v>32194.326005250245</c:v>
                </c:pt>
                <c:pt idx="6">
                  <c:v>57009.858729615866</c:v>
                </c:pt>
                <c:pt idx="7">
                  <c:v>19844.594169562959</c:v>
                </c:pt>
                <c:pt idx="8">
                  <c:v>19221.158909171769</c:v>
                </c:pt>
                <c:pt idx="9">
                  <c:v>21313.956173189858</c:v>
                </c:pt>
                <c:pt idx="10">
                  <c:v>13543.814703214444</c:v>
                </c:pt>
                <c:pt idx="11">
                  <c:v>68837.798297348752</c:v>
                </c:pt>
                <c:pt idx="12">
                  <c:v>37231.096819318154</c:v>
                </c:pt>
                <c:pt idx="13">
                  <c:v>67237.99524643911</c:v>
                </c:pt>
                <c:pt idx="14">
                  <c:v>37650.305469230516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43792"/>
        <c:axId val="280133112"/>
      </c:scatterChart>
      <c:valAx>
        <c:axId val="28084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133112"/>
        <c:crosses val="autoZero"/>
        <c:crossBetween val="midCat"/>
      </c:valAx>
      <c:valAx>
        <c:axId val="28013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3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Gwydir!$BH$28</c:f>
              <c:strCache>
                <c:ptCount val="1"/>
                <c:pt idx="0">
                  <c:v>area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Gwydir!$BG$29:$BG$43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Gwydir!$BH$29:$BH$43</c:f>
              <c:numCache>
                <c:formatCode>General</c:formatCode>
                <c:ptCount val="15"/>
                <c:pt idx="0">
                  <c:v>44590</c:v>
                </c:pt>
                <c:pt idx="1">
                  <c:v>45741</c:v>
                </c:pt>
                <c:pt idx="2">
                  <c:v>62541</c:v>
                </c:pt>
                <c:pt idx="3">
                  <c:v>42588</c:v>
                </c:pt>
                <c:pt idx="4">
                  <c:v>26394</c:v>
                </c:pt>
                <c:pt idx="5">
                  <c:v>35615</c:v>
                </c:pt>
                <c:pt idx="6">
                  <c:v>42153</c:v>
                </c:pt>
                <c:pt idx="7">
                  <c:v>23811</c:v>
                </c:pt>
                <c:pt idx="8">
                  <c:v>18458</c:v>
                </c:pt>
                <c:pt idx="9">
                  <c:v>20228</c:v>
                </c:pt>
                <c:pt idx="10">
                  <c:v>23900</c:v>
                </c:pt>
                <c:pt idx="11">
                  <c:v>51500</c:v>
                </c:pt>
                <c:pt idx="12">
                  <c:v>50607</c:v>
                </c:pt>
                <c:pt idx="13">
                  <c:v>67361</c:v>
                </c:pt>
                <c:pt idx="14">
                  <c:v>63247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Gwydir!$BI$28</c:f>
              <c:strCache>
                <c:ptCount val="1"/>
                <c:pt idx="0">
                  <c:v>estimate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Gwydir!$BG$29:$BG$43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Gwydir!$BI$29:$BI$43</c:f>
              <c:numCache>
                <c:formatCode>#,##0</c:formatCode>
                <c:ptCount val="15"/>
                <c:pt idx="0">
                  <c:v>51138.853972794532</c:v>
                </c:pt>
                <c:pt idx="1">
                  <c:v>41965.610016064224</c:v>
                </c:pt>
                <c:pt idx="2">
                  <c:v>60346.331543243439</c:v>
                </c:pt>
                <c:pt idx="3">
                  <c:v>51426.224275668297</c:v>
                </c:pt>
                <c:pt idx="4">
                  <c:v>33191.087481456576</c:v>
                </c:pt>
                <c:pt idx="5">
                  <c:v>28883.759564112243</c:v>
                </c:pt>
                <c:pt idx="6">
                  <c:v>45795.866972257587</c:v>
                </c:pt>
                <c:pt idx="7">
                  <c:v>29769.43583795114</c:v>
                </c:pt>
                <c:pt idx="8">
                  <c:v>16983.138828510826</c:v>
                </c:pt>
                <c:pt idx="9">
                  <c:v>15114.179485285458</c:v>
                </c:pt>
                <c:pt idx="10">
                  <c:v>12905.040469536743</c:v>
                </c:pt>
                <c:pt idx="11">
                  <c:v>47663.350787298346</c:v>
                </c:pt>
                <c:pt idx="12">
                  <c:v>42814.001894209119</c:v>
                </c:pt>
                <c:pt idx="13">
                  <c:v>69881.819089930548</c:v>
                </c:pt>
                <c:pt idx="14">
                  <c:v>58282.556925187011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141184"/>
        <c:axId val="280194928"/>
      </c:scatterChart>
      <c:valAx>
        <c:axId val="28014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194928"/>
        <c:crosses val="autoZero"/>
        <c:crossBetween val="midCat"/>
      </c:valAx>
      <c:valAx>
        <c:axId val="28019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141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Gwydir!$AZ$51</c:f>
              <c:strCache>
                <c:ptCount val="1"/>
                <c:pt idx="0">
                  <c:v>area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Gwydir!$AY$52:$AY$66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Gwydir!$AZ$52:$AZ$66</c:f>
              <c:numCache>
                <c:formatCode>General</c:formatCode>
                <c:ptCount val="15"/>
                <c:pt idx="0">
                  <c:v>44590</c:v>
                </c:pt>
                <c:pt idx="1">
                  <c:v>45741</c:v>
                </c:pt>
                <c:pt idx="2">
                  <c:v>62541</c:v>
                </c:pt>
                <c:pt idx="3">
                  <c:v>42588</c:v>
                </c:pt>
                <c:pt idx="4">
                  <c:v>26394</c:v>
                </c:pt>
                <c:pt idx="5">
                  <c:v>35615</c:v>
                </c:pt>
                <c:pt idx="6">
                  <c:v>42153</c:v>
                </c:pt>
                <c:pt idx="7">
                  <c:v>23811</c:v>
                </c:pt>
                <c:pt idx="8">
                  <c:v>18458</c:v>
                </c:pt>
                <c:pt idx="9">
                  <c:v>20228</c:v>
                </c:pt>
                <c:pt idx="10">
                  <c:v>23900</c:v>
                </c:pt>
                <c:pt idx="11">
                  <c:v>51500</c:v>
                </c:pt>
                <c:pt idx="12">
                  <c:v>50607</c:v>
                </c:pt>
                <c:pt idx="13">
                  <c:v>67361</c:v>
                </c:pt>
                <c:pt idx="14">
                  <c:v>63247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Gwydir!$BA$51</c:f>
              <c:strCache>
                <c:ptCount val="1"/>
                <c:pt idx="0">
                  <c:v>estimate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Gwydir!$AY$52:$AY$66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Gwydir!$BA$52:$BA$66</c:f>
              <c:numCache>
                <c:formatCode>#,##0</c:formatCode>
                <c:ptCount val="15"/>
                <c:pt idx="0">
                  <c:v>50957.454065728351</c:v>
                </c:pt>
                <c:pt idx="1">
                  <c:v>41098.716267626325</c:v>
                </c:pt>
                <c:pt idx="2">
                  <c:v>61096.912198298451</c:v>
                </c:pt>
                <c:pt idx="3">
                  <c:v>47400.783128129457</c:v>
                </c:pt>
                <c:pt idx="4">
                  <c:v>34059.957806617436</c:v>
                </c:pt>
                <c:pt idx="5">
                  <c:v>31032.858627985574</c:v>
                </c:pt>
                <c:pt idx="6">
                  <c:v>49022.238363548313</c:v>
                </c:pt>
                <c:pt idx="7">
                  <c:v>30928.331244816971</c:v>
                </c:pt>
                <c:pt idx="8">
                  <c:v>20617.393486693451</c:v>
                </c:pt>
                <c:pt idx="9">
                  <c:v>19011.468690131951</c:v>
                </c:pt>
                <c:pt idx="10">
                  <c:v>16009.774004119459</c:v>
                </c:pt>
                <c:pt idx="11">
                  <c:v>48487.269929514063</c:v>
                </c:pt>
                <c:pt idx="12">
                  <c:v>44620.66926906586</c:v>
                </c:pt>
                <c:pt idx="13">
                  <c:v>67602.232630327766</c:v>
                </c:pt>
                <c:pt idx="14">
                  <c:v>55128.885379770276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627144"/>
        <c:axId val="74737608"/>
      </c:scatterChart>
      <c:valAx>
        <c:axId val="280627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7608"/>
        <c:crosses val="autoZero"/>
        <c:crossBetween val="midCat"/>
      </c:valAx>
      <c:valAx>
        <c:axId val="74737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627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Gwydir!$B$82</c:f>
              <c:strCache>
                <c:ptCount val="1"/>
                <c:pt idx="0">
                  <c:v>ML GW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Gwydir!$A$83:$A$93</c:f>
              <c:strCache>
                <c:ptCount val="1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 </c:v>
                </c:pt>
                <c:pt idx="10">
                  <c:v>2013-14</c:v>
                </c:pt>
              </c:strCache>
            </c:strRef>
          </c:xVal>
          <c:yVal>
            <c:numRef>
              <c:f>Gwydir!$B$83:$B$93</c:f>
              <c:numCache>
                <c:formatCode>#,##0</c:formatCode>
                <c:ptCount val="11"/>
                <c:pt idx="0">
                  <c:v>33200</c:v>
                </c:pt>
                <c:pt idx="1">
                  <c:v>33000</c:v>
                </c:pt>
                <c:pt idx="2">
                  <c:v>33000</c:v>
                </c:pt>
                <c:pt idx="3">
                  <c:v>33000</c:v>
                </c:pt>
                <c:pt idx="4">
                  <c:v>33000</c:v>
                </c:pt>
                <c:pt idx="5">
                  <c:v>34850</c:v>
                </c:pt>
                <c:pt idx="6">
                  <c:v>41350</c:v>
                </c:pt>
                <c:pt idx="7">
                  <c:v>32930</c:v>
                </c:pt>
                <c:pt idx="8">
                  <c:v>23490</c:v>
                </c:pt>
                <c:pt idx="9">
                  <c:v>29330</c:v>
                </c:pt>
                <c:pt idx="10">
                  <c:v>46380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Gwydir!$C$82</c:f>
              <c:strCache>
                <c:ptCount val="1"/>
                <c:pt idx="0">
                  <c:v>Ha cotton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strRef>
              <c:f>Gwydir!$A$83:$A$93</c:f>
              <c:strCache>
                <c:ptCount val="1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 </c:v>
                </c:pt>
                <c:pt idx="10">
                  <c:v>2013-14</c:v>
                </c:pt>
              </c:strCache>
            </c:strRef>
          </c:xVal>
          <c:yVal>
            <c:numRef>
              <c:f>Gwydir!$C$83:$C$93</c:f>
              <c:numCache>
                <c:formatCode>#,##0</c:formatCode>
                <c:ptCount val="11"/>
                <c:pt idx="0">
                  <c:v>17127</c:v>
                </c:pt>
                <c:pt idx="1">
                  <c:v>37022.200000000012</c:v>
                </c:pt>
                <c:pt idx="2">
                  <c:v>45696</c:v>
                </c:pt>
                <c:pt idx="3">
                  <c:v>21990</c:v>
                </c:pt>
                <c:pt idx="4">
                  <c:v>6752.869999999999</c:v>
                </c:pt>
                <c:pt idx="5">
                  <c:v>22024</c:v>
                </c:pt>
                <c:pt idx="6">
                  <c:v>19512.88</c:v>
                </c:pt>
                <c:pt idx="7">
                  <c:v>40425.879999999997</c:v>
                </c:pt>
                <c:pt idx="8">
                  <c:v>43791.020000000004</c:v>
                </c:pt>
                <c:pt idx="9">
                  <c:v>49144.070000000007</c:v>
                </c:pt>
                <c:pt idx="10">
                  <c:v>51727.76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8784"/>
        <c:axId val="74739176"/>
      </c:scatterChart>
      <c:scatterChart>
        <c:scatterStyle val="lineMarker"/>
        <c:varyColors val="0"/>
        <c:ser>
          <c:idx val="2"/>
          <c:order val="2"/>
          <c:tx>
            <c:strRef>
              <c:f>Gwydir!$D$82</c:f>
              <c:strCache>
                <c:ptCount val="1"/>
                <c:pt idx="0">
                  <c:v>rain in season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Gwydir!$A$83:$A$93</c:f>
              <c:strCache>
                <c:ptCount val="11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 </c:v>
                </c:pt>
                <c:pt idx="10">
                  <c:v>2013-14</c:v>
                </c:pt>
              </c:strCache>
            </c:strRef>
          </c:xVal>
          <c:yVal>
            <c:numRef>
              <c:f>Gwydir!$D$83:$D$93</c:f>
              <c:numCache>
                <c:formatCode>0</c:formatCode>
                <c:ptCount val="11"/>
                <c:pt idx="0">
                  <c:v>462.50646367000002</c:v>
                </c:pt>
                <c:pt idx="1">
                  <c:v>421.14773779000001</c:v>
                </c:pt>
                <c:pt idx="2">
                  <c:v>393.76361972000007</c:v>
                </c:pt>
                <c:pt idx="3">
                  <c:v>266.09833811999999</c:v>
                </c:pt>
                <c:pt idx="4">
                  <c:v>431.89750700499997</c:v>
                </c:pt>
                <c:pt idx="5">
                  <c:v>412.40987976700001</c:v>
                </c:pt>
                <c:pt idx="6">
                  <c:v>314.67894759000001</c:v>
                </c:pt>
                <c:pt idx="7">
                  <c:v>384.93933499999997</c:v>
                </c:pt>
                <c:pt idx="8">
                  <c:v>660.8378580000001</c:v>
                </c:pt>
                <c:pt idx="9">
                  <c:v>390.62382281999999</c:v>
                </c:pt>
                <c:pt idx="10">
                  <c:v>274.47839317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9960"/>
        <c:axId val="74739568"/>
      </c:scatterChart>
      <c:valAx>
        <c:axId val="74738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9176"/>
        <c:crosses val="autoZero"/>
        <c:crossBetween val="midCat"/>
      </c:valAx>
      <c:valAx>
        <c:axId val="7473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8784"/>
        <c:crosses val="autoZero"/>
        <c:crossBetween val="midCat"/>
      </c:valAx>
      <c:valAx>
        <c:axId val="7473956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9960"/>
        <c:crosses val="max"/>
        <c:crossBetween val="midCat"/>
      </c:valAx>
      <c:valAx>
        <c:axId val="74739960"/>
        <c:scaling>
          <c:orientation val="minMax"/>
        </c:scaling>
        <c:delete val="1"/>
        <c:axPos val="b"/>
        <c:majorTickMark val="out"/>
        <c:minorTickMark val="none"/>
        <c:tickLblPos val="nextTo"/>
        <c:crossAx val="74739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Moree surface water related irrigated cotton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Gwydir!$N$96</c:f>
              <c:strCache>
                <c:ptCount val="1"/>
                <c:pt idx="0">
                  <c:v>GS/FPH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Gwydir!$M$97:$M$111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Gwydir!$N$97:$N$111</c:f>
              <c:numCache>
                <c:formatCode>#,##0</c:formatCode>
                <c:ptCount val="15"/>
                <c:pt idx="0">
                  <c:v>52421.975285414963</c:v>
                </c:pt>
                <c:pt idx="1">
                  <c:v>58827.616297839042</c:v>
                </c:pt>
                <c:pt idx="2">
                  <c:v>51230.197597627026</c:v>
                </c:pt>
                <c:pt idx="3">
                  <c:v>24648.341634288397</c:v>
                </c:pt>
                <c:pt idx="4">
                  <c:v>12298.048377180796</c:v>
                </c:pt>
                <c:pt idx="5">
                  <c:v>32353.467621365206</c:v>
                </c:pt>
                <c:pt idx="6">
                  <c:v>41102.269283489004</c:v>
                </c:pt>
                <c:pt idx="7">
                  <c:v>17694.962575903759</c:v>
                </c:pt>
                <c:pt idx="8">
                  <c:v>1952.5821973580714</c:v>
                </c:pt>
                <c:pt idx="9">
                  <c:v>17150.545030868219</c:v>
                </c:pt>
                <c:pt idx="10">
                  <c:v>14198.936765237177</c:v>
                </c:pt>
                <c:pt idx="11">
                  <c:v>35564.329132414023</c:v>
                </c:pt>
                <c:pt idx="12">
                  <c:v>39351.362776036265</c:v>
                </c:pt>
                <c:pt idx="13">
                  <c:v>44996.820894964243</c:v>
                </c:pt>
                <c:pt idx="14">
                  <c:v>46135.295892822811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Gwydir!$P$96</c:f>
              <c:strCache>
                <c:ptCount val="1"/>
                <c:pt idx="0">
                  <c:v>est 2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Gwydir!$M$97:$M$111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Gwydir!$P$97:$P$111</c:f>
              <c:numCache>
                <c:formatCode>#,##0</c:formatCode>
                <c:ptCount val="15"/>
                <c:pt idx="0">
                  <c:v>49233.084006083918</c:v>
                </c:pt>
                <c:pt idx="1">
                  <c:v>48457.373023680819</c:v>
                </c:pt>
                <c:pt idx="2">
                  <c:v>49326.196198080281</c:v>
                </c:pt>
                <c:pt idx="3">
                  <c:v>21421.417643934587</c:v>
                </c:pt>
                <c:pt idx="4">
                  <c:v>26166.665269938632</c:v>
                </c:pt>
                <c:pt idx="5">
                  <c:v>29822.557245684751</c:v>
                </c:pt>
                <c:pt idx="6">
                  <c:v>41687.173689224015</c:v>
                </c:pt>
                <c:pt idx="7">
                  <c:v>7984.5833884371677</c:v>
                </c:pt>
                <c:pt idx="8">
                  <c:v>4788.319912377975</c:v>
                </c:pt>
                <c:pt idx="9">
                  <c:v>18180.321143566827</c:v>
                </c:pt>
                <c:pt idx="10">
                  <c:v>4182.3399084106513</c:v>
                </c:pt>
                <c:pt idx="11">
                  <c:v>37478.038561229325</c:v>
                </c:pt>
                <c:pt idx="12">
                  <c:v>39493.134537271362</c:v>
                </c:pt>
                <c:pt idx="13">
                  <c:v>48333.652438814119</c:v>
                </c:pt>
                <c:pt idx="14">
                  <c:v>52923.903372361616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0744"/>
        <c:axId val="74741136"/>
      </c:scatterChart>
      <c:valAx>
        <c:axId val="7474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41136"/>
        <c:crosses val="autoZero"/>
        <c:crossBetween val="midCat"/>
      </c:valAx>
      <c:valAx>
        <c:axId val="7474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40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water only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Gwydir!$DH$23</c:f>
              <c:strCache>
                <c:ptCount val="1"/>
                <c:pt idx="0">
                  <c:v>Total water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Gwydir!$DF$24:$DF$33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Gwydir!$DH$24:$DH$33</c:f>
              <c:numCache>
                <c:formatCode>#,##0</c:formatCode>
                <c:ptCount val="10"/>
                <c:pt idx="0">
                  <c:v>70648.201768222178</c:v>
                </c:pt>
                <c:pt idx="1">
                  <c:v>26019.370110539181</c:v>
                </c:pt>
                <c:pt idx="2">
                  <c:v>80099.815044620264</c:v>
                </c:pt>
                <c:pt idx="3">
                  <c:v>30156.074381689534</c:v>
                </c:pt>
                <c:pt idx="4">
                  <c:v>23871.738997643639</c:v>
                </c:pt>
                <c:pt idx="5">
                  <c:v>45450.666824276967</c:v>
                </c:pt>
                <c:pt idx="6">
                  <c:v>47246.430540691472</c:v>
                </c:pt>
                <c:pt idx="7">
                  <c:v>20890.573378767858</c:v>
                </c:pt>
                <c:pt idx="8">
                  <c:v>8522.3285956796644</c:v>
                </c:pt>
                <c:pt idx="9">
                  <c:v>35120.049872641859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46120"/>
        <c:axId val="280846512"/>
      </c:scatterChart>
      <c:scatterChart>
        <c:scatterStyle val="lineMarker"/>
        <c:varyColors val="0"/>
        <c:ser>
          <c:idx val="0"/>
          <c:order val="0"/>
          <c:tx>
            <c:strRef>
              <c:f>Gwydir!$DG$23</c:f>
              <c:strCache>
                <c:ptCount val="1"/>
                <c:pt idx="0">
                  <c:v>Ha planted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Gwydir!$DF$24:$DF$33</c:f>
              <c:numCache>
                <c:formatCode>General</c:formatCode>
                <c:ptCount val="1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</c:numCache>
            </c:numRef>
          </c:xVal>
          <c:yVal>
            <c:numRef>
              <c:f>Gwydir!$DG$24:$DG$33</c:f>
              <c:numCache>
                <c:formatCode>#,##0</c:formatCode>
                <c:ptCount val="10"/>
                <c:pt idx="0">
                  <c:v>15147.43725950543</c:v>
                </c:pt>
                <c:pt idx="1">
                  <c:v>12437.739534997911</c:v>
                </c:pt>
                <c:pt idx="2">
                  <c:v>17135</c:v>
                </c:pt>
                <c:pt idx="3">
                  <c:v>6540</c:v>
                </c:pt>
                <c:pt idx="4">
                  <c:v>419</c:v>
                </c:pt>
                <c:pt idx="5">
                  <c:v>6109.7</c:v>
                </c:pt>
                <c:pt idx="6">
                  <c:v>8262</c:v>
                </c:pt>
                <c:pt idx="7">
                  <c:v>3288</c:v>
                </c:pt>
                <c:pt idx="8">
                  <c:v>0</c:v>
                </c:pt>
                <c:pt idx="9">
                  <c:v>326.43000000000006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47296"/>
        <c:axId val="280846904"/>
      </c:scatterChart>
      <c:valAx>
        <c:axId val="28084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6512"/>
        <c:crosses val="autoZero"/>
        <c:crossBetween val="midCat"/>
      </c:valAx>
      <c:valAx>
        <c:axId val="2808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6120"/>
        <c:crosses val="autoZero"/>
        <c:crossBetween val="midCat"/>
      </c:valAx>
      <c:valAx>
        <c:axId val="2808469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7296"/>
        <c:crosses val="max"/>
        <c:crossBetween val="midCat"/>
      </c:valAx>
      <c:valAx>
        <c:axId val="28084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0846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Gwydir!$DR$23</c:f>
              <c:strCache>
                <c:ptCount val="1"/>
                <c:pt idx="0">
                  <c:v>actual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Gwydir!$DQ$24:$DQ$38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Gwydir!$DR$24:$DR$38</c:f>
              <c:numCache>
                <c:formatCode>#,##0</c:formatCode>
                <c:ptCount val="15"/>
                <c:pt idx="0">
                  <c:v>15147.43725950543</c:v>
                </c:pt>
                <c:pt idx="1">
                  <c:v>12437.739534997911</c:v>
                </c:pt>
                <c:pt idx="2">
                  <c:v>17135</c:v>
                </c:pt>
                <c:pt idx="3">
                  <c:v>6540</c:v>
                </c:pt>
                <c:pt idx="4">
                  <c:v>419</c:v>
                </c:pt>
                <c:pt idx="5">
                  <c:v>6109.7</c:v>
                </c:pt>
                <c:pt idx="6">
                  <c:v>8262</c:v>
                </c:pt>
                <c:pt idx="7">
                  <c:v>3288</c:v>
                </c:pt>
                <c:pt idx="8">
                  <c:v>0</c:v>
                </c:pt>
                <c:pt idx="9">
                  <c:v>326.43000000000006</c:v>
                </c:pt>
                <c:pt idx="10">
                  <c:v>1619.08</c:v>
                </c:pt>
                <c:pt idx="11">
                  <c:v>5162.46</c:v>
                </c:pt>
                <c:pt idx="12">
                  <c:v>2089.2599999999998</c:v>
                </c:pt>
                <c:pt idx="13">
                  <c:v>9276.630000000001</c:v>
                </c:pt>
                <c:pt idx="14">
                  <c:v>2955.23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Gwydir!$DS$23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Gwydir!$DQ$24:$DQ$38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Gwydir!$DS$24:$DS$38</c:f>
              <c:numCache>
                <c:formatCode>#,##0</c:formatCode>
                <c:ptCount val="15"/>
                <c:pt idx="0">
                  <c:v>13412.181668761239</c:v>
                </c:pt>
                <c:pt idx="1">
                  <c:v>4939.6376708098833</c:v>
                </c:pt>
                <c:pt idx="2">
                  <c:v>15206.519686617865</c:v>
                </c:pt>
                <c:pt idx="3">
                  <c:v>5724.9687593014405</c:v>
                </c:pt>
                <c:pt idx="4">
                  <c:v>4531.9214385108862</c:v>
                </c:pt>
                <c:pt idx="5">
                  <c:v>8628.5649904218681</c:v>
                </c:pt>
                <c:pt idx="6">
                  <c:v>8969.4810873062288</c:v>
                </c:pt>
                <c:pt idx="7">
                  <c:v>3965.9631569936359</c:v>
                </c:pt>
                <c:pt idx="8">
                  <c:v>1617.9183122187892</c:v>
                </c:pt>
                <c:pt idx="9">
                  <c:v>6667.3528457691273</c:v>
                </c:pt>
                <c:pt idx="10">
                  <c:v>7013.9698759951052</c:v>
                </c:pt>
                <c:pt idx="11">
                  <c:v>14518.954305123942</c:v>
                </c:pt>
                <c:pt idx="12">
                  <c:v>11886.256997510573</c:v>
                </c:pt>
                <c:pt idx="13">
                  <c:v>11198.344889926126</c:v>
                </c:pt>
                <c:pt idx="14">
                  <c:v>8951.9628574043927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48080"/>
        <c:axId val="280848472"/>
      </c:scatterChart>
      <c:valAx>
        <c:axId val="280848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8472"/>
        <c:crosses val="autoZero"/>
        <c:crossBetween val="midCat"/>
      </c:valAx>
      <c:valAx>
        <c:axId val="28084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8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ha based off total water available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Gwydir!$DI$47</c:f>
              <c:strCache>
                <c:ptCount val="1"/>
                <c:pt idx="0">
                  <c:v>actual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Gwydir!$DH$48:$DH$62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Gwydir!$DI$48:$DI$62</c:f>
              <c:numCache>
                <c:formatCode>#,##0</c:formatCode>
                <c:ptCount val="15"/>
                <c:pt idx="0">
                  <c:v>15147.43725950543</c:v>
                </c:pt>
                <c:pt idx="1">
                  <c:v>12437.739534997911</c:v>
                </c:pt>
                <c:pt idx="2">
                  <c:v>17135</c:v>
                </c:pt>
                <c:pt idx="3">
                  <c:v>6540</c:v>
                </c:pt>
                <c:pt idx="4">
                  <c:v>419</c:v>
                </c:pt>
                <c:pt idx="5">
                  <c:v>6109.7</c:v>
                </c:pt>
                <c:pt idx="6">
                  <c:v>8262</c:v>
                </c:pt>
                <c:pt idx="7">
                  <c:v>3288</c:v>
                </c:pt>
                <c:pt idx="8">
                  <c:v>0</c:v>
                </c:pt>
                <c:pt idx="9">
                  <c:v>326.43000000000006</c:v>
                </c:pt>
                <c:pt idx="10">
                  <c:v>1619.08</c:v>
                </c:pt>
                <c:pt idx="11">
                  <c:v>5162.46</c:v>
                </c:pt>
                <c:pt idx="12">
                  <c:v>2089.2599999999998</c:v>
                </c:pt>
                <c:pt idx="13">
                  <c:v>9276.630000000001</c:v>
                </c:pt>
                <c:pt idx="14">
                  <c:v>2955.23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Gwydir!$DJ$47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Gwydir!$DH$48:$DH$62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Gwydir!$DJ$48:$DJ$62</c:f>
              <c:numCache>
                <c:formatCode>#,##0</c:formatCode>
                <c:ptCount val="15"/>
                <c:pt idx="0">
                  <c:v>16222.592802633289</c:v>
                </c:pt>
                <c:pt idx="1">
                  <c:v>5456.4853003429162</c:v>
                </c:pt>
                <c:pt idx="2">
                  <c:v>15976.355019197516</c:v>
                </c:pt>
                <c:pt idx="3">
                  <c:v>5564.9275516174039</c:v>
                </c:pt>
                <c:pt idx="4">
                  <c:v>3054.3552818553762</c:v>
                </c:pt>
                <c:pt idx="5">
                  <c:v>6934.9121067261121</c:v>
                </c:pt>
                <c:pt idx="6">
                  <c:v>8862.2652358790547</c:v>
                </c:pt>
                <c:pt idx="7">
                  <c:v>3326.1481381524472</c:v>
                </c:pt>
                <c:pt idx="8">
                  <c:v>995.19909463503313</c:v>
                </c:pt>
                <c:pt idx="9">
                  <c:v>5103.4547385264941</c:v>
                </c:pt>
                <c:pt idx="10">
                  <c:v>5334.0385286234259</c:v>
                </c:pt>
                <c:pt idx="11">
                  <c:v>12487.475006129021</c:v>
                </c:pt>
                <c:pt idx="12">
                  <c:v>9685.1032951505495</c:v>
                </c:pt>
                <c:pt idx="13">
                  <c:v>14355.194208431338</c:v>
                </c:pt>
                <c:pt idx="14">
                  <c:v>10412.236251508282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49256"/>
        <c:axId val="280849648"/>
      </c:scatterChart>
      <c:valAx>
        <c:axId val="280849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9648"/>
        <c:crosses val="autoZero"/>
        <c:crossBetween val="midCat"/>
      </c:valAx>
      <c:valAx>
        <c:axId val="2808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49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Collarenebri cotton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Gwydir!$EL$2</c:f>
              <c:strCache>
                <c:ptCount val="1"/>
                <c:pt idx="0">
                  <c:v>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Gwydir!$EK$3:$EK$17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Gwydir!$EL$3:$EL$17</c:f>
              <c:numCache>
                <c:formatCode>#,##0</c:formatCode>
                <c:ptCount val="15"/>
                <c:pt idx="0">
                  <c:v>15147.43725950543</c:v>
                </c:pt>
                <c:pt idx="1">
                  <c:v>12437.739534997911</c:v>
                </c:pt>
                <c:pt idx="2">
                  <c:v>17135</c:v>
                </c:pt>
                <c:pt idx="3">
                  <c:v>6540</c:v>
                </c:pt>
                <c:pt idx="4">
                  <c:v>419</c:v>
                </c:pt>
                <c:pt idx="5">
                  <c:v>6109.7</c:v>
                </c:pt>
                <c:pt idx="6">
                  <c:v>8262</c:v>
                </c:pt>
                <c:pt idx="7">
                  <c:v>3288</c:v>
                </c:pt>
                <c:pt idx="8">
                  <c:v>0</c:v>
                </c:pt>
                <c:pt idx="9">
                  <c:v>326.43000000000006</c:v>
                </c:pt>
                <c:pt idx="10">
                  <c:v>1619.08</c:v>
                </c:pt>
                <c:pt idx="11">
                  <c:v>5162.46</c:v>
                </c:pt>
                <c:pt idx="12">
                  <c:v>2089.2599999999998</c:v>
                </c:pt>
                <c:pt idx="13">
                  <c:v>9276.630000000001</c:v>
                </c:pt>
                <c:pt idx="14">
                  <c:v>2955.23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Gwydir!$EM$2</c:f>
              <c:strCache>
                <c:ptCount val="1"/>
                <c:pt idx="0">
                  <c:v>Ha est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Gwydir!$EK$3:$EK$17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Gwydir!$EM$3:$EM$17</c:f>
              <c:numCache>
                <c:formatCode>#,##0</c:formatCode>
                <c:ptCount val="15"/>
                <c:pt idx="0">
                  <c:v>16811.070108378346</c:v>
                </c:pt>
                <c:pt idx="1">
                  <c:v>12437.739534997909</c:v>
                </c:pt>
                <c:pt idx="2">
                  <c:v>14103.946742706274</c:v>
                </c:pt>
                <c:pt idx="3">
                  <c:v>5149.3776801862632</c:v>
                </c:pt>
                <c:pt idx="4">
                  <c:v>3020.4628946998191</c:v>
                </c:pt>
                <c:pt idx="5">
                  <c:v>4535.9444288352124</c:v>
                </c:pt>
                <c:pt idx="6">
                  <c:v>7511.5583103874706</c:v>
                </c:pt>
                <c:pt idx="7">
                  <c:v>2772.1058529396528</c:v>
                </c:pt>
                <c:pt idx="8">
                  <c:v>1575.8898122261235</c:v>
                </c:pt>
                <c:pt idx="9">
                  <c:v>4811.2656689838313</c:v>
                </c:pt>
                <c:pt idx="10">
                  <c:v>3019.8206573204097</c:v>
                </c:pt>
                <c:pt idx="11">
                  <c:v>8496.382549486234</c:v>
                </c:pt>
                <c:pt idx="12">
                  <c:v>6398.2935254787772</c:v>
                </c:pt>
                <c:pt idx="13">
                  <c:v>14416.493058338234</c:v>
                </c:pt>
                <c:pt idx="14">
                  <c:v>14000.819061451504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8392"/>
        <c:axId val="74737216"/>
      </c:scatterChart>
      <c:valAx>
        <c:axId val="74738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7216"/>
        <c:crosses val="autoZero"/>
        <c:crossBetween val="midCat"/>
      </c:valAx>
      <c:valAx>
        <c:axId val="747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8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Gwydir!$DI$67</c:f>
              <c:strCache>
                <c:ptCount val="1"/>
                <c:pt idx="0">
                  <c:v>actual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Gwydir!$DH$68:$DH$82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Gwydir!$DI$68:$DI$82</c:f>
              <c:numCache>
                <c:formatCode>#,##0</c:formatCode>
                <c:ptCount val="15"/>
                <c:pt idx="0">
                  <c:v>15147.43725950543</c:v>
                </c:pt>
                <c:pt idx="1">
                  <c:v>12437.739534997911</c:v>
                </c:pt>
                <c:pt idx="2">
                  <c:v>17135</c:v>
                </c:pt>
                <c:pt idx="3">
                  <c:v>6540</c:v>
                </c:pt>
                <c:pt idx="4">
                  <c:v>419</c:v>
                </c:pt>
                <c:pt idx="5">
                  <c:v>6109.7</c:v>
                </c:pt>
                <c:pt idx="6">
                  <c:v>8262</c:v>
                </c:pt>
                <c:pt idx="7">
                  <c:v>3288</c:v>
                </c:pt>
                <c:pt idx="8">
                  <c:v>0</c:v>
                </c:pt>
                <c:pt idx="9">
                  <c:v>326.43000000000006</c:v>
                </c:pt>
                <c:pt idx="10">
                  <c:v>1619.08</c:v>
                </c:pt>
                <c:pt idx="11">
                  <c:v>5162.46</c:v>
                </c:pt>
                <c:pt idx="12">
                  <c:v>2089.2599999999998</c:v>
                </c:pt>
                <c:pt idx="13">
                  <c:v>9276.630000000001</c:v>
                </c:pt>
                <c:pt idx="14">
                  <c:v>2955.23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Gwydir!$DJ$67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Gwydir!$DH$68:$DH$82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Gwydir!$DJ$68:$DJ$82</c:f>
              <c:numCache>
                <c:formatCode>#,##0</c:formatCode>
                <c:ptCount val="15"/>
                <c:pt idx="0">
                  <c:v>12683.947773013308</c:v>
                </c:pt>
                <c:pt idx="1">
                  <c:v>12437.739534997911</c:v>
                </c:pt>
                <c:pt idx="2">
                  <c:v>14380.859600463056</c:v>
                </c:pt>
                <c:pt idx="3">
                  <c:v>5414.1232603673097</c:v>
                </c:pt>
                <c:pt idx="4">
                  <c:v>4285.8541777253286</c:v>
                </c:pt>
                <c:pt idx="5">
                  <c:v>8160.0645142969051</c:v>
                </c:pt>
                <c:pt idx="6">
                  <c:v>8482.4700762445445</c:v>
                </c:pt>
                <c:pt idx="7">
                  <c:v>3750.6254236152458</c:v>
                </c:pt>
                <c:pt idx="8">
                  <c:v>1530.0710861218415</c:v>
                </c:pt>
                <c:pt idx="9">
                  <c:v>6305.3392332850844</c:v>
                </c:pt>
                <c:pt idx="10">
                  <c:v>6633.1361881133398</c:v>
                </c:pt>
                <c:pt idx="11">
                  <c:v>13730.626580602211</c:v>
                </c:pt>
                <c:pt idx="12">
                  <c:v>11240.875399428051</c:v>
                </c:pt>
                <c:pt idx="13">
                  <c:v>10590.314479473665</c:v>
                </c:pt>
                <c:pt idx="14">
                  <c:v>8465.9030240946267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36432"/>
        <c:axId val="74736040"/>
      </c:scatterChart>
      <c:valAx>
        <c:axId val="7473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6040"/>
        <c:crosses val="autoZero"/>
        <c:crossBetween val="midCat"/>
      </c:valAx>
      <c:valAx>
        <c:axId val="7473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736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Gwydir!$R$129</c:f>
              <c:strCache>
                <c:ptCount val="1"/>
                <c:pt idx="0">
                  <c:v>acutal SW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Gwydir!$Q$130:$Q$144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Gwydir!$R$130:$R$144</c:f>
              <c:numCache>
                <c:formatCode>#,##0</c:formatCode>
                <c:ptCount val="15"/>
                <c:pt idx="0">
                  <c:v>52421.975285414963</c:v>
                </c:pt>
                <c:pt idx="1">
                  <c:v>58827.616297839042</c:v>
                </c:pt>
                <c:pt idx="2">
                  <c:v>51230.197597627026</c:v>
                </c:pt>
                <c:pt idx="3">
                  <c:v>24648.341634288397</c:v>
                </c:pt>
                <c:pt idx="4">
                  <c:v>12298.048377180796</c:v>
                </c:pt>
                <c:pt idx="5">
                  <c:v>32353.467621365206</c:v>
                </c:pt>
                <c:pt idx="6">
                  <c:v>41102.269283489004</c:v>
                </c:pt>
                <c:pt idx="7">
                  <c:v>17694.962575903759</c:v>
                </c:pt>
                <c:pt idx="8">
                  <c:v>1952.5821973580714</c:v>
                </c:pt>
                <c:pt idx="9">
                  <c:v>17150.545030868219</c:v>
                </c:pt>
                <c:pt idx="10">
                  <c:v>14198.936765237177</c:v>
                </c:pt>
                <c:pt idx="11">
                  <c:v>35564.329132414023</c:v>
                </c:pt>
                <c:pt idx="12">
                  <c:v>39351.362776036265</c:v>
                </c:pt>
                <c:pt idx="13">
                  <c:v>44996.820894964243</c:v>
                </c:pt>
                <c:pt idx="14">
                  <c:v>46135.295892822811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Gwydir!$S$129</c:f>
              <c:strCache>
                <c:ptCount val="1"/>
                <c:pt idx="0">
                  <c:v>est SW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Gwydir!$Q$130:$Q$144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Gwydir!$S$130:$S$144</c:f>
              <c:numCache>
                <c:formatCode>#,##0</c:formatCode>
                <c:ptCount val="15"/>
                <c:pt idx="0">
                  <c:v>52145.388581183375</c:v>
                </c:pt>
                <c:pt idx="1">
                  <c:v>54704.351020629147</c:v>
                </c:pt>
                <c:pt idx="2">
                  <c:v>54564.397042045806</c:v>
                </c:pt>
                <c:pt idx="3">
                  <c:v>29634.698180633455</c:v>
                </c:pt>
                <c:pt idx="4">
                  <c:v>12298.048377180789</c:v>
                </c:pt>
                <c:pt idx="5">
                  <c:v>30543.090181557007</c:v>
                </c:pt>
                <c:pt idx="6">
                  <c:v>42977.931357470879</c:v>
                </c:pt>
                <c:pt idx="7">
                  <c:v>13828.88220769914</c:v>
                </c:pt>
                <c:pt idx="8">
                  <c:v>6945.0161042887466</c:v>
                </c:pt>
                <c:pt idx="9">
                  <c:v>19942.224678401592</c:v>
                </c:pt>
                <c:pt idx="10">
                  <c:v>7122.1517995091563</c:v>
                </c:pt>
                <c:pt idx="11">
                  <c:v>32434.605012150601</c:v>
                </c:pt>
                <c:pt idx="12">
                  <c:v>40011.532338279874</c:v>
                </c:pt>
                <c:pt idx="13">
                  <c:v>60280.777045874027</c:v>
                </c:pt>
                <c:pt idx="14">
                  <c:v>70267.653760861009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0850824"/>
        <c:axId val="280851216"/>
      </c:scatterChart>
      <c:valAx>
        <c:axId val="28085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51216"/>
        <c:crosses val="autoZero"/>
        <c:crossBetween val="midCat"/>
      </c:valAx>
      <c:valAx>
        <c:axId val="2808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50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LwrBal!$BC$41</c:f>
              <c:strCache>
                <c:ptCount val="1"/>
                <c:pt idx="0">
                  <c:v>bales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LwrBal!$BC$42:$BC$56</c:f>
              <c:numCache>
                <c:formatCode>#,##0</c:formatCode>
                <c:ptCount val="15"/>
                <c:pt idx="0">
                  <c:v>168000</c:v>
                </c:pt>
                <c:pt idx="1">
                  <c:v>172267</c:v>
                </c:pt>
                <c:pt idx="2">
                  <c:v>114000</c:v>
                </c:pt>
                <c:pt idx="3">
                  <c:v>25000</c:v>
                </c:pt>
                <c:pt idx="4">
                  <c:v>98000</c:v>
                </c:pt>
                <c:pt idx="5">
                  <c:v>204000</c:v>
                </c:pt>
                <c:pt idx="6">
                  <c:v>145500</c:v>
                </c:pt>
                <c:pt idx="7">
                  <c:v>28000</c:v>
                </c:pt>
                <c:pt idx="8">
                  <c:v>27000</c:v>
                </c:pt>
                <c:pt idx="9">
                  <c:v>98000</c:v>
                </c:pt>
                <c:pt idx="10">
                  <c:v>63750</c:v>
                </c:pt>
                <c:pt idx="11">
                  <c:v>297460</c:v>
                </c:pt>
                <c:pt idx="12">
                  <c:v>242250</c:v>
                </c:pt>
                <c:pt idx="13">
                  <c:v>248255</c:v>
                </c:pt>
                <c:pt idx="14">
                  <c:v>192942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LwrBal!$BD$41</c:f>
              <c:strCache>
                <c:ptCount val="1"/>
                <c:pt idx="0">
                  <c:v>bales estimate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LwrBal!$BD$42:$BD$56</c:f>
              <c:numCache>
                <c:formatCode>#,##0</c:formatCode>
                <c:ptCount val="15"/>
                <c:pt idx="0">
                  <c:v>186706.25006923155</c:v>
                </c:pt>
                <c:pt idx="1">
                  <c:v>212410.45798952517</c:v>
                </c:pt>
                <c:pt idx="2">
                  <c:v>132421.86931141396</c:v>
                </c:pt>
                <c:pt idx="3">
                  <c:v>33117.511457049819</c:v>
                </c:pt>
                <c:pt idx="4">
                  <c:v>104204.68684925274</c:v>
                </c:pt>
                <c:pt idx="5">
                  <c:v>192784.12253542559</c:v>
                </c:pt>
                <c:pt idx="6">
                  <c:v>160230.46516945295</c:v>
                </c:pt>
                <c:pt idx="7">
                  <c:v>22159.372847197563</c:v>
                </c:pt>
                <c:pt idx="8">
                  <c:v>37396.519541539354</c:v>
                </c:pt>
                <c:pt idx="9">
                  <c:v>78086.007419120244</c:v>
                </c:pt>
                <c:pt idx="10">
                  <c:v>75937.163229440921</c:v>
                </c:pt>
                <c:pt idx="11">
                  <c:v>264016.45123764285</c:v>
                </c:pt>
                <c:pt idx="12">
                  <c:v>246777.41172132967</c:v>
                </c:pt>
                <c:pt idx="13">
                  <c:v>217799.85211606993</c:v>
                </c:pt>
                <c:pt idx="14">
                  <c:v>188394.89965775399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852000"/>
        <c:axId val="280852392"/>
      </c:lineChart>
      <c:catAx>
        <c:axId val="2808520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52392"/>
        <c:crosses val="autoZero"/>
        <c:auto val="1"/>
        <c:lblAlgn val="ctr"/>
        <c:lblOffset val="100"/>
        <c:noMultiLvlLbl val="0"/>
      </c:catAx>
      <c:valAx>
        <c:axId val="28085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5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 George bales actual and estimate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LwrBal!$BS$41</c:f>
              <c:strCache>
                <c:ptCount val="1"/>
                <c:pt idx="0">
                  <c:v>Bales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LwrBal!$BS$42:$BS$56</c:f>
              <c:numCache>
                <c:formatCode>#,##0</c:formatCode>
                <c:ptCount val="15"/>
                <c:pt idx="0">
                  <c:v>168000</c:v>
                </c:pt>
                <c:pt idx="1">
                  <c:v>172267</c:v>
                </c:pt>
                <c:pt idx="2">
                  <c:v>114000</c:v>
                </c:pt>
                <c:pt idx="3">
                  <c:v>25000</c:v>
                </c:pt>
                <c:pt idx="4">
                  <c:v>98000</c:v>
                </c:pt>
                <c:pt idx="5">
                  <c:v>204000</c:v>
                </c:pt>
                <c:pt idx="6">
                  <c:v>145500</c:v>
                </c:pt>
                <c:pt idx="7">
                  <c:v>28000</c:v>
                </c:pt>
                <c:pt idx="8">
                  <c:v>27000</c:v>
                </c:pt>
                <c:pt idx="9">
                  <c:v>98000</c:v>
                </c:pt>
                <c:pt idx="10">
                  <c:v>63750</c:v>
                </c:pt>
                <c:pt idx="11">
                  <c:v>297460</c:v>
                </c:pt>
                <c:pt idx="12">
                  <c:v>242250</c:v>
                </c:pt>
                <c:pt idx="13">
                  <c:v>248255</c:v>
                </c:pt>
                <c:pt idx="14">
                  <c:v>192942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LwrBal!$BT$41</c:f>
              <c:strCache>
                <c:ptCount val="1"/>
                <c:pt idx="0">
                  <c:v>estimate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LwrBal!$BT$42:$BT$56</c:f>
              <c:numCache>
                <c:formatCode>#,##0</c:formatCode>
                <c:ptCount val="15"/>
                <c:pt idx="0">
                  <c:v>183244.33611212391</c:v>
                </c:pt>
                <c:pt idx="1">
                  <c:v>206447.59561844895</c:v>
                </c:pt>
                <c:pt idx="2">
                  <c:v>130322.9132051762</c:v>
                </c:pt>
                <c:pt idx="3">
                  <c:v>26065.360635459288</c:v>
                </c:pt>
                <c:pt idx="4">
                  <c:v>112047.23329423499</c:v>
                </c:pt>
                <c:pt idx="5">
                  <c:v>179186.87240289562</c:v>
                </c:pt>
                <c:pt idx="6">
                  <c:v>156720.71718054821</c:v>
                </c:pt>
                <c:pt idx="7">
                  <c:v>14459.297293686079</c:v>
                </c:pt>
                <c:pt idx="8">
                  <c:v>25221.830144843065</c:v>
                </c:pt>
                <c:pt idx="9">
                  <c:v>69966.476115768251</c:v>
                </c:pt>
                <c:pt idx="10">
                  <c:v>77008.937482944792</c:v>
                </c:pt>
                <c:pt idx="11">
                  <c:v>265150.07248085545</c:v>
                </c:pt>
                <c:pt idx="12">
                  <c:v>244413.45778279376</c:v>
                </c:pt>
                <c:pt idx="13">
                  <c:v>241777.25588218617</c:v>
                </c:pt>
                <c:pt idx="14">
                  <c:v>192391.64436803531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853176"/>
        <c:axId val="280853568"/>
      </c:lineChart>
      <c:catAx>
        <c:axId val="280853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53568"/>
        <c:crosses val="autoZero"/>
        <c:auto val="1"/>
        <c:lblAlgn val="ctr"/>
        <c:lblOffset val="100"/>
        <c:noMultiLvlLbl val="0"/>
      </c:catAx>
      <c:valAx>
        <c:axId val="28085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853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 George bales v 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LwrBal!$BS$42:$BS$56</c:f>
              <c:numCache>
                <c:formatCode>#,##0</c:formatCode>
                <c:ptCount val="15"/>
                <c:pt idx="0">
                  <c:v>168000</c:v>
                </c:pt>
                <c:pt idx="1">
                  <c:v>172267</c:v>
                </c:pt>
                <c:pt idx="2">
                  <c:v>114000</c:v>
                </c:pt>
                <c:pt idx="3">
                  <c:v>25000</c:v>
                </c:pt>
                <c:pt idx="4">
                  <c:v>98000</c:v>
                </c:pt>
                <c:pt idx="5">
                  <c:v>204000</c:v>
                </c:pt>
                <c:pt idx="6">
                  <c:v>145500</c:v>
                </c:pt>
                <c:pt idx="7">
                  <c:v>28000</c:v>
                </c:pt>
                <c:pt idx="8">
                  <c:v>27000</c:v>
                </c:pt>
                <c:pt idx="9">
                  <c:v>98000</c:v>
                </c:pt>
                <c:pt idx="10">
                  <c:v>63750</c:v>
                </c:pt>
                <c:pt idx="11">
                  <c:v>297460</c:v>
                </c:pt>
                <c:pt idx="12">
                  <c:v>242250</c:v>
                </c:pt>
                <c:pt idx="13">
                  <c:v>248255</c:v>
                </c:pt>
                <c:pt idx="14">
                  <c:v>192942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46216"/>
        <c:axId val="281646608"/>
      </c:line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LwrBal!$BR$42:$BR$56</c:f>
              <c:numCache>
                <c:formatCode>#,##0</c:formatCode>
                <c:ptCount val="15"/>
                <c:pt idx="0">
                  <c:v>20000</c:v>
                </c:pt>
                <c:pt idx="1">
                  <c:v>22667</c:v>
                </c:pt>
                <c:pt idx="2">
                  <c:v>15000</c:v>
                </c:pt>
                <c:pt idx="3">
                  <c:v>4500</c:v>
                </c:pt>
                <c:pt idx="4">
                  <c:v>11700</c:v>
                </c:pt>
                <c:pt idx="5">
                  <c:v>20000</c:v>
                </c:pt>
                <c:pt idx="6">
                  <c:v>17700</c:v>
                </c:pt>
                <c:pt idx="7">
                  <c:v>3270</c:v>
                </c:pt>
                <c:pt idx="8">
                  <c:v>3250</c:v>
                </c:pt>
                <c:pt idx="9">
                  <c:v>8810</c:v>
                </c:pt>
                <c:pt idx="10">
                  <c:v>8500</c:v>
                </c:pt>
                <c:pt idx="11">
                  <c:v>27800</c:v>
                </c:pt>
                <c:pt idx="12">
                  <c:v>25500</c:v>
                </c:pt>
                <c:pt idx="13">
                  <c:v>24220</c:v>
                </c:pt>
                <c:pt idx="14">
                  <c:v>21300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647392"/>
        <c:axId val="281647000"/>
      </c:lineChart>
      <c:catAx>
        <c:axId val="2816462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46608"/>
        <c:crosses val="autoZero"/>
        <c:auto val="1"/>
        <c:lblAlgn val="ctr"/>
        <c:lblOffset val="100"/>
        <c:noMultiLvlLbl val="0"/>
      </c:catAx>
      <c:valAx>
        <c:axId val="28164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46216"/>
        <c:crosses val="autoZero"/>
        <c:crossBetween val="between"/>
      </c:valAx>
      <c:valAx>
        <c:axId val="2816470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47392"/>
        <c:crosses val="max"/>
        <c:crossBetween val="between"/>
      </c:valAx>
      <c:catAx>
        <c:axId val="281647392"/>
        <c:scaling>
          <c:orientation val="minMax"/>
        </c:scaling>
        <c:delete val="1"/>
        <c:axPos val="b"/>
        <c:majorTickMark val="out"/>
        <c:minorTickMark val="none"/>
        <c:tickLblPos val="nextTo"/>
        <c:crossAx val="281647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LwrBal!$CK$112</c:f>
              <c:strCache>
                <c:ptCount val="1"/>
                <c:pt idx="0">
                  <c:v>Bales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LwrBal!$CK$113:$CK$127</c:f>
              <c:numCache>
                <c:formatCode>#,##0</c:formatCode>
                <c:ptCount val="15"/>
                <c:pt idx="0">
                  <c:v>180400</c:v>
                </c:pt>
                <c:pt idx="1">
                  <c:v>194791</c:v>
                </c:pt>
                <c:pt idx="2">
                  <c:v>71000</c:v>
                </c:pt>
                <c:pt idx="3">
                  <c:v>0</c:v>
                </c:pt>
                <c:pt idx="4">
                  <c:v>7500</c:v>
                </c:pt>
                <c:pt idx="5">
                  <c:v>200000</c:v>
                </c:pt>
                <c:pt idx="6">
                  <c:v>39500</c:v>
                </c:pt>
                <c:pt idx="7">
                  <c:v>4700</c:v>
                </c:pt>
                <c:pt idx="8">
                  <c:v>450</c:v>
                </c:pt>
                <c:pt idx="9">
                  <c:v>132000</c:v>
                </c:pt>
                <c:pt idx="10">
                  <c:v>15000</c:v>
                </c:pt>
                <c:pt idx="11">
                  <c:v>331700</c:v>
                </c:pt>
                <c:pt idx="12">
                  <c:v>315000</c:v>
                </c:pt>
                <c:pt idx="13">
                  <c:v>340615</c:v>
                </c:pt>
                <c:pt idx="14">
                  <c:v>310862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LwrBal!$CL$112</c:f>
              <c:strCache>
                <c:ptCount val="1"/>
                <c:pt idx="0">
                  <c:v>estimate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LwrBal!$CL$113:$CL$127</c:f>
              <c:numCache>
                <c:formatCode>#,##0</c:formatCode>
                <c:ptCount val="15"/>
                <c:pt idx="0">
                  <c:v>218788.37949086216</c:v>
                </c:pt>
                <c:pt idx="1">
                  <c:v>249796.19612245917</c:v>
                </c:pt>
                <c:pt idx="2">
                  <c:v>88025.965042744327</c:v>
                </c:pt>
                <c:pt idx="3">
                  <c:v>-14682.426458121132</c:v>
                </c:pt>
                <c:pt idx="4">
                  <c:v>15262.409809952149</c:v>
                </c:pt>
                <c:pt idx="5">
                  <c:v>190734.35654360979</c:v>
                </c:pt>
                <c:pt idx="6">
                  <c:v>34874.372441046457</c:v>
                </c:pt>
                <c:pt idx="7">
                  <c:v>-9547.0068830778582</c:v>
                </c:pt>
                <c:pt idx="8">
                  <c:v>4229.8716070094888</c:v>
                </c:pt>
                <c:pt idx="9">
                  <c:v>113420.13975595431</c:v>
                </c:pt>
                <c:pt idx="10">
                  <c:v>22556.500502048642</c:v>
                </c:pt>
                <c:pt idx="11">
                  <c:v>320355.61570055463</c:v>
                </c:pt>
                <c:pt idx="12">
                  <c:v>307189.29678527167</c:v>
                </c:pt>
                <c:pt idx="13">
                  <c:v>326532.00805035833</c:v>
                </c:pt>
                <c:pt idx="14">
                  <c:v>275982.32148932817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648176"/>
        <c:axId val="281648568"/>
      </c:lineChart>
      <c:catAx>
        <c:axId val="281648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48568"/>
        <c:crosses val="autoZero"/>
        <c:auto val="1"/>
        <c:lblAlgn val="ctr"/>
        <c:lblOffset val="100"/>
        <c:noMultiLvlLbl val="0"/>
      </c:catAx>
      <c:valAx>
        <c:axId val="2816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 v estimate of area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0"/>
          <c:tx>
            <c:strRef>
              <c:f>LwrBal!$AK$41</c:f>
              <c:strCache>
                <c:ptCount val="1"/>
                <c:pt idx="0">
                  <c:v>area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LwrBal!$AE$42:$AE$56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LwrBal!$AK$42:$AK$56</c:f>
              <c:numCache>
                <c:formatCode>#,##0</c:formatCode>
                <c:ptCount val="15"/>
                <c:pt idx="0">
                  <c:v>20000</c:v>
                </c:pt>
                <c:pt idx="1">
                  <c:v>22667</c:v>
                </c:pt>
                <c:pt idx="2">
                  <c:v>15000</c:v>
                </c:pt>
                <c:pt idx="3">
                  <c:v>4500</c:v>
                </c:pt>
                <c:pt idx="4">
                  <c:v>11700</c:v>
                </c:pt>
                <c:pt idx="5">
                  <c:v>20000</c:v>
                </c:pt>
                <c:pt idx="6">
                  <c:v>17700</c:v>
                </c:pt>
                <c:pt idx="7">
                  <c:v>3270</c:v>
                </c:pt>
                <c:pt idx="8">
                  <c:v>3250</c:v>
                </c:pt>
                <c:pt idx="9">
                  <c:v>8810</c:v>
                </c:pt>
                <c:pt idx="10">
                  <c:v>8500</c:v>
                </c:pt>
                <c:pt idx="11">
                  <c:v>27800</c:v>
                </c:pt>
                <c:pt idx="12">
                  <c:v>25500</c:v>
                </c:pt>
                <c:pt idx="13">
                  <c:v>24220</c:v>
                </c:pt>
                <c:pt idx="14">
                  <c:v>21300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LwrBal!$AL$41</c:f>
              <c:strCache>
                <c:ptCount val="1"/>
                <c:pt idx="0">
                  <c:v>estimate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LwrBal!$AE$42:$AE$56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LwrBal!$AL$42:$AL$56</c:f>
              <c:numCache>
                <c:formatCode>#,##0</c:formatCode>
                <c:ptCount val="15"/>
                <c:pt idx="0">
                  <c:v>22743.984900842916</c:v>
                </c:pt>
                <c:pt idx="1">
                  <c:v>19237.66137154627</c:v>
                </c:pt>
                <c:pt idx="2">
                  <c:v>16376.304316223914</c:v>
                </c:pt>
                <c:pt idx="3">
                  <c:v>5061.2654344748771</c:v>
                </c:pt>
                <c:pt idx="4">
                  <c:v>9503.3056120314413</c:v>
                </c:pt>
                <c:pt idx="5">
                  <c:v>17478.225029537436</c:v>
                </c:pt>
                <c:pt idx="6">
                  <c:v>11795.540219303062</c:v>
                </c:pt>
                <c:pt idx="7">
                  <c:v>2411.7659713865578</c:v>
                </c:pt>
                <c:pt idx="8">
                  <c:v>5883.971853602392</c:v>
                </c:pt>
                <c:pt idx="9">
                  <c:v>9106.968594138576</c:v>
                </c:pt>
                <c:pt idx="10">
                  <c:v>13665.785553771497</c:v>
                </c:pt>
                <c:pt idx="11">
                  <c:v>22305.853952537935</c:v>
                </c:pt>
                <c:pt idx="12">
                  <c:v>28351.960525751187</c:v>
                </c:pt>
                <c:pt idx="13">
                  <c:v>26752.397446595551</c:v>
                </c:pt>
                <c:pt idx="14">
                  <c:v>26481.921775750459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649352"/>
        <c:axId val="281649744"/>
      </c:scatterChart>
      <c:valAx>
        <c:axId val="281649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49744"/>
        <c:crosses val="autoZero"/>
        <c:crossBetween val="midCat"/>
      </c:valAx>
      <c:valAx>
        <c:axId val="28164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49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LwrBal!$BT$112</c:f>
              <c:strCache>
                <c:ptCount val="1"/>
                <c:pt idx="0">
                  <c:v>yield (bales)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LwrBal!$BQ$113:$BQ$126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LwrBal!$BT$113:$BT$126</c:f>
              <c:numCache>
                <c:formatCode>General</c:formatCode>
                <c:ptCount val="14"/>
                <c:pt idx="0">
                  <c:v>180400</c:v>
                </c:pt>
                <c:pt idx="1">
                  <c:v>194791</c:v>
                </c:pt>
                <c:pt idx="2">
                  <c:v>71000</c:v>
                </c:pt>
                <c:pt idx="3">
                  <c:v>7500</c:v>
                </c:pt>
                <c:pt idx="4">
                  <c:v>200000</c:v>
                </c:pt>
                <c:pt idx="5">
                  <c:v>39500</c:v>
                </c:pt>
                <c:pt idx="6">
                  <c:v>4700</c:v>
                </c:pt>
                <c:pt idx="7">
                  <c:v>450</c:v>
                </c:pt>
                <c:pt idx="8">
                  <c:v>132000</c:v>
                </c:pt>
                <c:pt idx="9">
                  <c:v>15000</c:v>
                </c:pt>
                <c:pt idx="10">
                  <c:v>331700</c:v>
                </c:pt>
                <c:pt idx="11">
                  <c:v>315000</c:v>
                </c:pt>
                <c:pt idx="12">
                  <c:v>340615</c:v>
                </c:pt>
                <c:pt idx="13">
                  <c:v>310862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LwrBal!$BU$112</c:f>
              <c:strCache>
                <c:ptCount val="1"/>
                <c:pt idx="0">
                  <c:v>estimate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LwrBal!$BQ$113:$BQ$126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xVal>
          <c:yVal>
            <c:numRef>
              <c:f>LwrBal!$BU$113:$BU$126</c:f>
              <c:numCache>
                <c:formatCode>#,##0</c:formatCode>
                <c:ptCount val="14"/>
                <c:pt idx="0">
                  <c:v>213197.01328737385</c:v>
                </c:pt>
                <c:pt idx="1">
                  <c:v>226468.60157736749</c:v>
                </c:pt>
                <c:pt idx="2">
                  <c:v>94669.829917047551</c:v>
                </c:pt>
                <c:pt idx="3">
                  <c:v>10400.552022931659</c:v>
                </c:pt>
                <c:pt idx="4">
                  <c:v>200483.72693343958</c:v>
                </c:pt>
                <c:pt idx="5">
                  <c:v>43078.72663227209</c:v>
                </c:pt>
                <c:pt idx="6">
                  <c:v>6891.5398019773729</c:v>
                </c:pt>
                <c:pt idx="7">
                  <c:v>433.38738678602562</c:v>
                </c:pt>
                <c:pt idx="8">
                  <c:v>135588.38460294469</c:v>
                </c:pt>
                <c:pt idx="9">
                  <c:v>17335.495471441023</c:v>
                </c:pt>
                <c:pt idx="10">
                  <c:v>346107.48245543963</c:v>
                </c:pt>
                <c:pt idx="11">
                  <c:v>296578.02533825196</c:v>
                </c:pt>
                <c:pt idx="12">
                  <c:v>291921.5039588607</c:v>
                </c:pt>
                <c:pt idx="13">
                  <c:v>302468.49090210447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650528"/>
        <c:axId val="281650920"/>
      </c:scatterChart>
      <c:valAx>
        <c:axId val="281650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50920"/>
        <c:crosses val="autoZero"/>
        <c:crossBetween val="midCat"/>
      </c:valAx>
      <c:valAx>
        <c:axId val="281650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50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LwrBal!$AX$136:$AX$150</c:f>
              <c:numCache>
                <c:formatCode>0</c:formatCode>
                <c:ptCount val="15"/>
                <c:pt idx="0">
                  <c:v>22000</c:v>
                </c:pt>
                <c:pt idx="1">
                  <c:v>25687</c:v>
                </c:pt>
                <c:pt idx="2">
                  <c:v>10000</c:v>
                </c:pt>
                <c:pt idx="3">
                  <c:v>0</c:v>
                </c:pt>
                <c:pt idx="4">
                  <c:v>1000</c:v>
                </c:pt>
                <c:pt idx="5">
                  <c:v>20000</c:v>
                </c:pt>
                <c:pt idx="6">
                  <c:v>4825</c:v>
                </c:pt>
                <c:pt idx="7">
                  <c:v>500</c:v>
                </c:pt>
                <c:pt idx="8">
                  <c:v>50</c:v>
                </c:pt>
                <c:pt idx="9">
                  <c:v>12210</c:v>
                </c:pt>
                <c:pt idx="10">
                  <c:v>2000</c:v>
                </c:pt>
                <c:pt idx="11">
                  <c:v>31000</c:v>
                </c:pt>
                <c:pt idx="12">
                  <c:v>30000</c:v>
                </c:pt>
                <c:pt idx="13">
                  <c:v>30965</c:v>
                </c:pt>
                <c:pt idx="14">
                  <c:v>28300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LwrBal!$AY$136:$AY$150</c:f>
              <c:numCache>
                <c:formatCode>#,##0</c:formatCode>
                <c:ptCount val="15"/>
                <c:pt idx="0">
                  <c:v>20875.476271260388</c:v>
                </c:pt>
                <c:pt idx="1">
                  <c:v>25687.000000000007</c:v>
                </c:pt>
                <c:pt idx="2">
                  <c:v>7894.0766817320873</c:v>
                </c:pt>
                <c:pt idx="3">
                  <c:v>1369.3425777582913</c:v>
                </c:pt>
                <c:pt idx="4">
                  <c:v>910.5046237039129</c:v>
                </c:pt>
                <c:pt idx="5">
                  <c:v>12919.539592654839</c:v>
                </c:pt>
                <c:pt idx="6">
                  <c:v>3417.5807009048435</c:v>
                </c:pt>
                <c:pt idx="7">
                  <c:v>2042.7675872776763</c:v>
                </c:pt>
                <c:pt idx="8">
                  <c:v>551.2879314379453</c:v>
                </c:pt>
                <c:pt idx="9">
                  <c:v>15304.823563656813</c:v>
                </c:pt>
                <c:pt idx="10">
                  <c:v>5549.9445692189493</c:v>
                </c:pt>
                <c:pt idx="11">
                  <c:v>31035.118101704495</c:v>
                </c:pt>
                <c:pt idx="12">
                  <c:v>33081.059885216258</c:v>
                </c:pt>
                <c:pt idx="13">
                  <c:v>26502.883546135607</c:v>
                </c:pt>
                <c:pt idx="14">
                  <c:v>30870.142672283077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1651704"/>
        <c:axId val="281652096"/>
      </c:lineChart>
      <c:catAx>
        <c:axId val="281651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52096"/>
        <c:crosses val="autoZero"/>
        <c:auto val="1"/>
        <c:lblAlgn val="ctr"/>
        <c:lblOffset val="100"/>
        <c:noMultiLvlLbl val="0"/>
      </c:catAx>
      <c:valAx>
        <c:axId val="2816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5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LwrBal!$AM$159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LwrBal!$AL$160:$AL$174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LwrBal!$AM$160:$AM$174</c:f>
              <c:numCache>
                <c:formatCode>0</c:formatCode>
                <c:ptCount val="15"/>
                <c:pt idx="0">
                  <c:v>22000</c:v>
                </c:pt>
                <c:pt idx="1">
                  <c:v>25687</c:v>
                </c:pt>
                <c:pt idx="2">
                  <c:v>10000</c:v>
                </c:pt>
                <c:pt idx="3">
                  <c:v>0</c:v>
                </c:pt>
                <c:pt idx="4">
                  <c:v>1000</c:v>
                </c:pt>
                <c:pt idx="5">
                  <c:v>20000</c:v>
                </c:pt>
                <c:pt idx="6">
                  <c:v>4825</c:v>
                </c:pt>
                <c:pt idx="7">
                  <c:v>500</c:v>
                </c:pt>
                <c:pt idx="8">
                  <c:v>50</c:v>
                </c:pt>
                <c:pt idx="9">
                  <c:v>12210</c:v>
                </c:pt>
                <c:pt idx="10">
                  <c:v>2000</c:v>
                </c:pt>
                <c:pt idx="11">
                  <c:v>31000</c:v>
                </c:pt>
                <c:pt idx="12">
                  <c:v>30000</c:v>
                </c:pt>
                <c:pt idx="13">
                  <c:v>30965</c:v>
                </c:pt>
                <c:pt idx="14">
                  <c:v>28300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LwrBal!$AN$159</c:f>
              <c:strCache>
                <c:ptCount val="1"/>
                <c:pt idx="0">
                  <c:v>estimate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LwrBal!$AL$160:$AL$174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LwrBal!$AN$160:$AN$174</c:f>
              <c:numCache>
                <c:formatCode>0</c:formatCode>
                <c:ptCount val="15"/>
                <c:pt idx="0">
                  <c:v>21829.742064747476</c:v>
                </c:pt>
                <c:pt idx="1">
                  <c:v>14650.36738571163</c:v>
                </c:pt>
                <c:pt idx="2">
                  <c:v>8397.8241115494675</c:v>
                </c:pt>
                <c:pt idx="3">
                  <c:v>1705.6005783990042</c:v>
                </c:pt>
                <c:pt idx="4">
                  <c:v>835.61159708050423</c:v>
                </c:pt>
                <c:pt idx="5">
                  <c:v>12140.785970159472</c:v>
                </c:pt>
                <c:pt idx="6">
                  <c:v>4034.2545451761907</c:v>
                </c:pt>
                <c:pt idx="7">
                  <c:v>2091.3315505820319</c:v>
                </c:pt>
                <c:pt idx="8">
                  <c:v>657.08983162092545</c:v>
                </c:pt>
                <c:pt idx="9">
                  <c:v>14172.680169741405</c:v>
                </c:pt>
                <c:pt idx="10">
                  <c:v>6675.2679745817259</c:v>
                </c:pt>
                <c:pt idx="11">
                  <c:v>29442.13110006327</c:v>
                </c:pt>
                <c:pt idx="12">
                  <c:v>35199.981872368284</c:v>
                </c:pt>
                <c:pt idx="13">
                  <c:v>29433.852708250768</c:v>
                </c:pt>
                <c:pt idx="14">
                  <c:v>32040.314510431839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652880"/>
        <c:axId val="281653272"/>
      </c:scatterChart>
      <c:valAx>
        <c:axId val="281652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53272"/>
        <c:crosses val="autoZero"/>
        <c:crossBetween val="midCat"/>
      </c:valAx>
      <c:valAx>
        <c:axId val="28165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652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Goondiw!$BI$1</c:f>
              <c:strCache>
                <c:ptCount val="1"/>
                <c:pt idx="0">
                  <c:v>Ha planted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Goondiw!$BH$2:$BH$11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Goondiw!$BI$2:$BI$11</c:f>
              <c:numCache>
                <c:formatCode>#,##0</c:formatCode>
                <c:ptCount val="10"/>
                <c:pt idx="0">
                  <c:v>45150</c:v>
                </c:pt>
                <c:pt idx="1">
                  <c:v>48139.799999999996</c:v>
                </c:pt>
                <c:pt idx="2">
                  <c:v>48240</c:v>
                </c:pt>
                <c:pt idx="3">
                  <c:v>33235.300000000003</c:v>
                </c:pt>
                <c:pt idx="4">
                  <c:v>14697</c:v>
                </c:pt>
                <c:pt idx="5">
                  <c:v>43319.66</c:v>
                </c:pt>
                <c:pt idx="6">
                  <c:v>35706.10000000002</c:v>
                </c:pt>
                <c:pt idx="7">
                  <c:v>19666.14</c:v>
                </c:pt>
                <c:pt idx="8">
                  <c:v>5798.8200000000006</c:v>
                </c:pt>
                <c:pt idx="9">
                  <c:v>10417.630000000001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Goondiw!$BJ$1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Goondiw!$BH$2:$BH$11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Goondiw!$BJ$2:$BJ$11</c:f>
              <c:numCache>
                <c:formatCode>#,##0</c:formatCode>
                <c:ptCount val="10"/>
                <c:pt idx="0">
                  <c:v>47086.229324196822</c:v>
                </c:pt>
                <c:pt idx="1">
                  <c:v>25368.249360359281</c:v>
                </c:pt>
                <c:pt idx="2">
                  <c:v>55351.427496912533</c:v>
                </c:pt>
                <c:pt idx="3">
                  <c:v>38155.468451862602</c:v>
                </c:pt>
                <c:pt idx="4">
                  <c:v>16679.425386434494</c:v>
                </c:pt>
                <c:pt idx="5">
                  <c:v>27971.466422965863</c:v>
                </c:pt>
                <c:pt idx="6">
                  <c:v>24344.407884637752</c:v>
                </c:pt>
                <c:pt idx="7">
                  <c:v>20628.817851871579</c:v>
                </c:pt>
                <c:pt idx="8">
                  <c:v>19358.64214168816</c:v>
                </c:pt>
                <c:pt idx="9">
                  <c:v>23174.286792340383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Goondiw!$BK$1</c:f>
              <c:strCache>
                <c:ptCount val="1"/>
                <c:pt idx="0">
                  <c:v>est D 2000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Goondiw!$BH$2:$BH$11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Goondiw!$BK$2:$BK$11</c:f>
              <c:numCache>
                <c:formatCode>#,##0</c:formatCode>
                <c:ptCount val="10"/>
                <c:pt idx="0">
                  <c:v>44994.955089843919</c:v>
                </c:pt>
                <c:pt idx="1">
                  <c:v>48139.799999999988</c:v>
                </c:pt>
                <c:pt idx="2">
                  <c:v>51362.376422759189</c:v>
                </c:pt>
                <c:pt idx="3">
                  <c:v>35605.295677821181</c:v>
                </c:pt>
                <c:pt idx="4">
                  <c:v>15636.944669867466</c:v>
                </c:pt>
                <c:pt idx="5">
                  <c:v>26731.751343355907</c:v>
                </c:pt>
                <c:pt idx="6">
                  <c:v>22739.062894184761</c:v>
                </c:pt>
                <c:pt idx="7">
                  <c:v>19129.780040391794</c:v>
                </c:pt>
                <c:pt idx="8">
                  <c:v>18179.6282991997</c:v>
                </c:pt>
                <c:pt idx="9">
                  <c:v>22474.883938748484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16288"/>
        <c:axId val="279116680"/>
      </c:scatterChart>
      <c:valAx>
        <c:axId val="27911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16680"/>
        <c:crosses val="autoZero"/>
        <c:crossBetween val="midCat"/>
      </c:valAx>
      <c:valAx>
        <c:axId val="27911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16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Goondiw!$CC$1</c:f>
              <c:strCache>
                <c:ptCount val="1"/>
                <c:pt idx="0">
                  <c:v>Ha planted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Goondiw!$CB$2:$CB$11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Goondiw!$CC$2:$CC$11</c:f>
              <c:numCache>
                <c:formatCode>#,##0</c:formatCode>
                <c:ptCount val="10"/>
                <c:pt idx="0">
                  <c:v>45150</c:v>
                </c:pt>
                <c:pt idx="1">
                  <c:v>48139.799999999996</c:v>
                </c:pt>
                <c:pt idx="2">
                  <c:v>48240</c:v>
                </c:pt>
                <c:pt idx="3">
                  <c:v>33235.300000000003</c:v>
                </c:pt>
                <c:pt idx="4">
                  <c:v>14697</c:v>
                </c:pt>
                <c:pt idx="5">
                  <c:v>43319.66</c:v>
                </c:pt>
                <c:pt idx="6">
                  <c:v>35706.10000000002</c:v>
                </c:pt>
                <c:pt idx="7">
                  <c:v>19666.14</c:v>
                </c:pt>
                <c:pt idx="8">
                  <c:v>5798.8200000000006</c:v>
                </c:pt>
                <c:pt idx="9">
                  <c:v>10417.630000000001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Goondiw!$CD$1</c:f>
              <c:strCache>
                <c:ptCount val="1"/>
                <c:pt idx="0">
                  <c:v>est 1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Goondiw!$CB$2:$CB$11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Goondiw!$CD$2:$CD$11</c:f>
              <c:numCache>
                <c:formatCode>#,##0</c:formatCode>
                <c:ptCount val="10"/>
                <c:pt idx="0">
                  <c:v>56513.009374826361</c:v>
                </c:pt>
                <c:pt idx="1">
                  <c:v>46788.185446010641</c:v>
                </c:pt>
                <c:pt idx="2">
                  <c:v>46827.047865935157</c:v>
                </c:pt>
                <c:pt idx="3">
                  <c:v>38663.625911994655</c:v>
                </c:pt>
                <c:pt idx="4">
                  <c:v>18884.64914807037</c:v>
                </c:pt>
                <c:pt idx="5">
                  <c:v>22279.550597351004</c:v>
                </c:pt>
                <c:pt idx="6">
                  <c:v>22553.933978325756</c:v>
                </c:pt>
                <c:pt idx="7">
                  <c:v>11449.825793175725</c:v>
                </c:pt>
                <c:pt idx="8">
                  <c:v>10241.791236919267</c:v>
                </c:pt>
                <c:pt idx="9">
                  <c:v>11484.59935534304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Goondiw!$CE$1</c:f>
              <c:strCache>
                <c:ptCount val="1"/>
                <c:pt idx="0">
                  <c:v>est 2 ha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Goondiw!$CB$2:$CB$11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Goondiw!$CE$2:$CE$11</c:f>
              <c:numCache>
                <c:formatCode>#,##0</c:formatCode>
                <c:ptCount val="10"/>
                <c:pt idx="0">
                  <c:v>56682.020743778048</c:v>
                </c:pt>
                <c:pt idx="1">
                  <c:v>45016.23576795953</c:v>
                </c:pt>
                <c:pt idx="2">
                  <c:v>43941.906200936523</c:v>
                </c:pt>
                <c:pt idx="3">
                  <c:v>36791.105010127445</c:v>
                </c:pt>
                <c:pt idx="4">
                  <c:v>21291.054862095014</c:v>
                </c:pt>
                <c:pt idx="5">
                  <c:v>28329.452145923566</c:v>
                </c:pt>
                <c:pt idx="6">
                  <c:v>22843.923020410766</c:v>
                </c:pt>
                <c:pt idx="7">
                  <c:v>11131.815163122821</c:v>
                </c:pt>
                <c:pt idx="8">
                  <c:v>13215.661172228571</c:v>
                </c:pt>
                <c:pt idx="9">
                  <c:v>17341.650504577083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17464"/>
        <c:axId val="279117856"/>
      </c:scatterChart>
      <c:valAx>
        <c:axId val="279117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17856"/>
        <c:crosses val="autoZero"/>
        <c:crossBetween val="midCat"/>
      </c:valAx>
      <c:valAx>
        <c:axId val="27911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17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Goondiw!$CU$1</c:f>
              <c:strCache>
                <c:ptCount val="1"/>
                <c:pt idx="0">
                  <c:v>Ha planted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Goondiw!$CT$2:$CT$11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Goondiw!$CU$2:$CU$11</c:f>
              <c:numCache>
                <c:formatCode>#,##0</c:formatCode>
                <c:ptCount val="10"/>
                <c:pt idx="0">
                  <c:v>45150</c:v>
                </c:pt>
                <c:pt idx="1">
                  <c:v>48139.799999999996</c:v>
                </c:pt>
                <c:pt idx="2">
                  <c:v>48240</c:v>
                </c:pt>
                <c:pt idx="3">
                  <c:v>33235.300000000003</c:v>
                </c:pt>
                <c:pt idx="4">
                  <c:v>14697</c:v>
                </c:pt>
                <c:pt idx="5">
                  <c:v>43319.66</c:v>
                </c:pt>
                <c:pt idx="6">
                  <c:v>35706.10000000002</c:v>
                </c:pt>
                <c:pt idx="7">
                  <c:v>19666.14</c:v>
                </c:pt>
                <c:pt idx="8">
                  <c:v>5798.8200000000006</c:v>
                </c:pt>
                <c:pt idx="9">
                  <c:v>10417.630000000001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Goondiw!$CW$1</c:f>
              <c:strCache>
                <c:ptCount val="1"/>
                <c:pt idx="0">
                  <c:v>est 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Goondiw!$CT$2:$CT$11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Goondiw!$CW$2:$CW$11</c:f>
              <c:numCache>
                <c:formatCode>#,##0</c:formatCode>
                <c:ptCount val="10"/>
                <c:pt idx="0">
                  <c:v>50594.09526713955</c:v>
                </c:pt>
                <c:pt idx="1">
                  <c:v>46508.860247646349</c:v>
                </c:pt>
                <c:pt idx="2">
                  <c:v>32965.295575145879</c:v>
                </c:pt>
                <c:pt idx="3">
                  <c:v>39990.057240443057</c:v>
                </c:pt>
                <c:pt idx="4">
                  <c:v>18128.071081736933</c:v>
                </c:pt>
                <c:pt idx="5">
                  <c:v>42069.440800517754</c:v>
                </c:pt>
                <c:pt idx="6">
                  <c:v>35706.100000000013</c:v>
                </c:pt>
                <c:pt idx="7">
                  <c:v>21095.558216102068</c:v>
                </c:pt>
                <c:pt idx="8">
                  <c:v>4472.8194261905028</c:v>
                </c:pt>
                <c:pt idx="9">
                  <c:v>10417.629999999996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18640"/>
        <c:axId val="279119032"/>
      </c:scatterChart>
      <c:valAx>
        <c:axId val="27911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19032"/>
        <c:crosses val="autoZero"/>
        <c:crossBetween val="midCat"/>
      </c:valAx>
      <c:valAx>
        <c:axId val="27911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186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Goondiw!$CU$1</c:f>
              <c:strCache>
                <c:ptCount val="1"/>
                <c:pt idx="0">
                  <c:v>Ha planted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Goondiw!$CT$2:$CT$16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Goondiw!$CU$2:$CU$16</c:f>
              <c:numCache>
                <c:formatCode>#,##0</c:formatCode>
                <c:ptCount val="15"/>
                <c:pt idx="0">
                  <c:v>45150</c:v>
                </c:pt>
                <c:pt idx="1">
                  <c:v>48139.799999999996</c:v>
                </c:pt>
                <c:pt idx="2">
                  <c:v>48240</c:v>
                </c:pt>
                <c:pt idx="3">
                  <c:v>33235.300000000003</c:v>
                </c:pt>
                <c:pt idx="4">
                  <c:v>14697</c:v>
                </c:pt>
                <c:pt idx="5">
                  <c:v>43319.66</c:v>
                </c:pt>
                <c:pt idx="6">
                  <c:v>35706.10000000002</c:v>
                </c:pt>
                <c:pt idx="7">
                  <c:v>19666.14</c:v>
                </c:pt>
                <c:pt idx="8">
                  <c:v>5798.8200000000006</c:v>
                </c:pt>
                <c:pt idx="9">
                  <c:v>10417.630000000001</c:v>
                </c:pt>
                <c:pt idx="10">
                  <c:v>23085.940000000017</c:v>
                </c:pt>
                <c:pt idx="11">
                  <c:v>52955.179999999993</c:v>
                </c:pt>
                <c:pt idx="12">
                  <c:v>60504.60000000002</c:v>
                </c:pt>
                <c:pt idx="13">
                  <c:v>48202.350000000013</c:v>
                </c:pt>
                <c:pt idx="14">
                  <c:v>45093.840000000026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Goondiw!$CV$1</c:f>
              <c:strCache>
                <c:ptCount val="1"/>
                <c:pt idx="0">
                  <c:v>est 4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Goondiw!$CT$2:$CT$16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Goondiw!$CV$2:$CV$16</c:f>
              <c:numCache>
                <c:formatCode>#,##0</c:formatCode>
                <c:ptCount val="15"/>
                <c:pt idx="0">
                  <c:v>49753.172727570054</c:v>
                </c:pt>
                <c:pt idx="1">
                  <c:v>46996.824333618897</c:v>
                </c:pt>
                <c:pt idx="2">
                  <c:v>32917.73631740245</c:v>
                </c:pt>
                <c:pt idx="3">
                  <c:v>40574.713703913076</c:v>
                </c:pt>
                <c:pt idx="4">
                  <c:v>16478.691588430647</c:v>
                </c:pt>
                <c:pt idx="5">
                  <c:v>40541.350420767245</c:v>
                </c:pt>
                <c:pt idx="6">
                  <c:v>35706.10000000002</c:v>
                </c:pt>
                <c:pt idx="7">
                  <c:v>21935.606010369789</c:v>
                </c:pt>
                <c:pt idx="8">
                  <c:v>2024.7457569016879</c:v>
                </c:pt>
                <c:pt idx="9">
                  <c:v>15185.84176120803</c:v>
                </c:pt>
                <c:pt idx="10">
                  <c:v>18449.974256045829</c:v>
                </c:pt>
                <c:pt idx="11">
                  <c:v>22435.602888812988</c:v>
                </c:pt>
                <c:pt idx="12">
                  <c:v>36699.503099416856</c:v>
                </c:pt>
                <c:pt idx="13">
                  <c:v>62298.358031815253</c:v>
                </c:pt>
                <c:pt idx="14">
                  <c:v>83592.074485062971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Goondiw!$CW$1</c:f>
              <c:strCache>
                <c:ptCount val="1"/>
                <c:pt idx="0">
                  <c:v>est 5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Goondiw!$CT$2:$CT$16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Goondiw!$CW$2:$CW$16</c:f>
              <c:numCache>
                <c:formatCode>#,##0</c:formatCode>
                <c:ptCount val="15"/>
                <c:pt idx="0">
                  <c:v>50594.09526713955</c:v>
                </c:pt>
                <c:pt idx="1">
                  <c:v>46508.860247646349</c:v>
                </c:pt>
                <c:pt idx="2">
                  <c:v>32965.295575145879</c:v>
                </c:pt>
                <c:pt idx="3">
                  <c:v>39990.057240443057</c:v>
                </c:pt>
                <c:pt idx="4">
                  <c:v>18128.071081736933</c:v>
                </c:pt>
                <c:pt idx="5">
                  <c:v>42069.440800517754</c:v>
                </c:pt>
                <c:pt idx="6">
                  <c:v>35706.100000000013</c:v>
                </c:pt>
                <c:pt idx="7">
                  <c:v>21095.558216102068</c:v>
                </c:pt>
                <c:pt idx="8">
                  <c:v>4472.8194261905028</c:v>
                </c:pt>
                <c:pt idx="9">
                  <c:v>10417.629999999996</c:v>
                </c:pt>
                <c:pt idx="10">
                  <c:v>20935.837411256551</c:v>
                </c:pt>
                <c:pt idx="11">
                  <c:v>25588.214159889401</c:v>
                </c:pt>
                <c:pt idx="12">
                  <c:v>37205.107723568995</c:v>
                </c:pt>
                <c:pt idx="13">
                  <c:v>59992.140482001705</c:v>
                </c:pt>
                <c:pt idx="14">
                  <c:v>81163.999519355959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Goondiw!$CX$1</c:f>
              <c:strCache>
                <c:ptCount val="1"/>
                <c:pt idx="0">
                  <c:v>est 6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Goondiw!$CT$2:$CT$16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Goondiw!$CX$2:$CX$16</c:f>
              <c:numCache>
                <c:formatCode>#,##0</c:formatCode>
                <c:ptCount val="15"/>
                <c:pt idx="0">
                  <c:v>49973.588340424561</c:v>
                </c:pt>
                <c:pt idx="1">
                  <c:v>41550.729491541424</c:v>
                </c:pt>
                <c:pt idx="2">
                  <c:v>31532.435734569211</c:v>
                </c:pt>
                <c:pt idx="3">
                  <c:v>36306.890681574376</c:v>
                </c:pt>
                <c:pt idx="4">
                  <c:v>26751.80236173141</c:v>
                </c:pt>
                <c:pt idx="5">
                  <c:v>45353.702861790647</c:v>
                </c:pt>
                <c:pt idx="6">
                  <c:v>35706.100000000006</c:v>
                </c:pt>
                <c:pt idx="7">
                  <c:v>15842.824428432683</c:v>
                </c:pt>
                <c:pt idx="8">
                  <c:v>19322.105953756494</c:v>
                </c:pt>
                <c:pt idx="9">
                  <c:v>10417.629999999994</c:v>
                </c:pt>
                <c:pt idx="10">
                  <c:v>33122.438003061696</c:v>
                </c:pt>
                <c:pt idx="11">
                  <c:v>38972.020766235881</c:v>
                </c:pt>
                <c:pt idx="12">
                  <c:v>38441.725065749662</c:v>
                </c:pt>
                <c:pt idx="13">
                  <c:v>45370.814867210698</c:v>
                </c:pt>
                <c:pt idx="14">
                  <c:v>61662.900933719327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Goondiw!$CY$1</c:f>
              <c:strCache>
                <c:ptCount val="1"/>
                <c:pt idx="0">
                  <c:v>est 7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Goondiw!$CT$2:$CT$16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Goondiw!$CY$2:$CY$16</c:f>
              <c:numCache>
                <c:formatCode>#,##0</c:formatCode>
                <c:ptCount val="15"/>
                <c:pt idx="0">
                  <c:v>48405.507554062555</c:v>
                </c:pt>
                <c:pt idx="1">
                  <c:v>41093.190905536598</c:v>
                </c:pt>
                <c:pt idx="2">
                  <c:v>30726.54493247658</c:v>
                </c:pt>
                <c:pt idx="3">
                  <c:v>35759.376902954267</c:v>
                </c:pt>
                <c:pt idx="4">
                  <c:v>24119.742378153805</c:v>
                </c:pt>
                <c:pt idx="5">
                  <c:v>43178.572595320511</c:v>
                </c:pt>
                <c:pt idx="6">
                  <c:v>35706.10000000002</c:v>
                </c:pt>
                <c:pt idx="7">
                  <c:v>16326.603588984945</c:v>
                </c:pt>
                <c:pt idx="8">
                  <c:v>15702.941072733107</c:v>
                </c:pt>
                <c:pt idx="9">
                  <c:v>27619.968979027675</c:v>
                </c:pt>
                <c:pt idx="10">
                  <c:v>29578.997903858672</c:v>
                </c:pt>
                <c:pt idx="11">
                  <c:v>35019.713701085748</c:v>
                </c:pt>
                <c:pt idx="12">
                  <c:v>36865.563945142203</c:v>
                </c:pt>
                <c:pt idx="13">
                  <c:v>46675.018768759895</c:v>
                </c:pt>
                <c:pt idx="14">
                  <c:v>63408.832413710712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19816"/>
        <c:axId val="279120208"/>
      </c:scatterChart>
      <c:valAx>
        <c:axId val="279119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0208"/>
        <c:crosses val="autoZero"/>
        <c:crossBetween val="midCat"/>
      </c:valAx>
      <c:valAx>
        <c:axId val="27912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19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Goondiw!$ED$1</c:f>
              <c:strCache>
                <c:ptCount val="1"/>
                <c:pt idx="0">
                  <c:v>actual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Goondiw!$EC$2:$EC$16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Goondiw!$ED$2:$ED$16</c:f>
              <c:numCache>
                <c:formatCode>#,##0</c:formatCode>
                <c:ptCount val="15"/>
                <c:pt idx="0">
                  <c:v>45150</c:v>
                </c:pt>
                <c:pt idx="1">
                  <c:v>48139.799999999996</c:v>
                </c:pt>
                <c:pt idx="2">
                  <c:v>48240</c:v>
                </c:pt>
                <c:pt idx="3">
                  <c:v>33235.300000000003</c:v>
                </c:pt>
                <c:pt idx="4">
                  <c:v>14697</c:v>
                </c:pt>
                <c:pt idx="5">
                  <c:v>43319.66</c:v>
                </c:pt>
                <c:pt idx="6">
                  <c:v>35706.10000000002</c:v>
                </c:pt>
                <c:pt idx="7">
                  <c:v>19666.14</c:v>
                </c:pt>
                <c:pt idx="8">
                  <c:v>5798.8200000000006</c:v>
                </c:pt>
                <c:pt idx="9">
                  <c:v>10417.630000000001</c:v>
                </c:pt>
                <c:pt idx="10">
                  <c:v>23085.940000000017</c:v>
                </c:pt>
                <c:pt idx="11">
                  <c:v>52955.179999999993</c:v>
                </c:pt>
                <c:pt idx="12">
                  <c:v>60504.60000000002</c:v>
                </c:pt>
                <c:pt idx="13">
                  <c:v>48202.350000000013</c:v>
                </c:pt>
                <c:pt idx="14">
                  <c:v>45093.840000000026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Goondiw!$EE$1</c:f>
              <c:strCache>
                <c:ptCount val="1"/>
                <c:pt idx="0">
                  <c:v>est 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Goondiw!$EC$2:$EC$16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Goondiw!$EE$2:$EE$16</c:f>
              <c:numCache>
                <c:formatCode>#,##0</c:formatCode>
                <c:ptCount val="15"/>
                <c:pt idx="0">
                  <c:v>47715.5407308211</c:v>
                </c:pt>
                <c:pt idx="1">
                  <c:v>34534.20994466776</c:v>
                </c:pt>
                <c:pt idx="2">
                  <c:v>47971.777912968944</c:v>
                </c:pt>
                <c:pt idx="3">
                  <c:v>32752.24148226473</c:v>
                </c:pt>
                <c:pt idx="4">
                  <c:v>12326.893348312129</c:v>
                </c:pt>
                <c:pt idx="5">
                  <c:v>31618.599894702995</c:v>
                </c:pt>
                <c:pt idx="6">
                  <c:v>35706.10000000002</c:v>
                </c:pt>
                <c:pt idx="7">
                  <c:v>15494.140258475309</c:v>
                </c:pt>
                <c:pt idx="8">
                  <c:v>5481.6174718665934</c:v>
                </c:pt>
                <c:pt idx="9">
                  <c:v>21817.805373630097</c:v>
                </c:pt>
                <c:pt idx="10">
                  <c:v>32616.223582746119</c:v>
                </c:pt>
                <c:pt idx="11">
                  <c:v>43868.077697837754</c:v>
                </c:pt>
                <c:pt idx="12">
                  <c:v>60772.822087031047</c:v>
                </c:pt>
                <c:pt idx="13">
                  <c:v>45732.732696025225</c:v>
                </c:pt>
                <c:pt idx="14">
                  <c:v>58404.532581987391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120992"/>
        <c:axId val="279121384"/>
      </c:scatterChart>
      <c:valAx>
        <c:axId val="27912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1384"/>
        <c:crosses val="autoZero"/>
        <c:crossBetween val="midCat"/>
      </c:valAx>
      <c:valAx>
        <c:axId val="27912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0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'War-Nar-Tra'!$G$22</c:f>
              <c:strCache>
                <c:ptCount val="1"/>
                <c:pt idx="0">
                  <c:v>GS use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'War-Nar-Tra'!$F$23:$F$36</c:f>
              <c:strCache>
                <c:ptCount val="1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</c:strCache>
            </c:strRef>
          </c:cat>
          <c:val>
            <c:numRef>
              <c:f>'War-Nar-Tra'!$G$23:$G$36</c:f>
              <c:numCache>
                <c:formatCode>#,##0</c:formatCode>
                <c:ptCount val="14"/>
                <c:pt idx="0">
                  <c:v>263582.13653810229</c:v>
                </c:pt>
                <c:pt idx="1">
                  <c:v>505799.17226919904</c:v>
                </c:pt>
                <c:pt idx="2">
                  <c:v>364663.23582299345</c:v>
                </c:pt>
                <c:pt idx="3">
                  <c:v>142375.12342566368</c:v>
                </c:pt>
                <c:pt idx="4">
                  <c:v>179987.04901623912</c:v>
                </c:pt>
                <c:pt idx="5">
                  <c:v>152796.54637215589</c:v>
                </c:pt>
                <c:pt idx="6">
                  <c:v>323428.9960608054</c:v>
                </c:pt>
                <c:pt idx="7">
                  <c:v>452435.30719559873</c:v>
                </c:pt>
                <c:pt idx="8">
                  <c:v>160192.72935715879</c:v>
                </c:pt>
                <c:pt idx="9">
                  <c:v>140832.16517644003</c:v>
                </c:pt>
                <c:pt idx="10">
                  <c:v>44163.76016979805</c:v>
                </c:pt>
                <c:pt idx="11">
                  <c:v>546720.21120142192</c:v>
                </c:pt>
                <c:pt idx="12">
                  <c:v>317026.34336732328</c:v>
                </c:pt>
                <c:pt idx="13">
                  <c:v>646905.53176792513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22168"/>
        <c:axId val="279122560"/>
      </c:lineChart>
      <c:lineChart>
        <c:grouping val="standard"/>
        <c:varyColors val="0"/>
        <c:ser>
          <c:idx val="1"/>
          <c:order val="1"/>
          <c:tx>
            <c:strRef>
              <c:f>'War-Nar-Tra'!$H$22</c:f>
              <c:strCache>
                <c:ptCount val="1"/>
                <c:pt idx="0">
                  <c:v>Cotton area 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'War-Nar-Tra'!$F$23:$F$36</c:f>
              <c:strCache>
                <c:ptCount val="14"/>
                <c:pt idx="0">
                  <c:v>1999-00</c:v>
                </c:pt>
                <c:pt idx="1">
                  <c:v>2000-01</c:v>
                </c:pt>
                <c:pt idx="2">
                  <c:v>2001-02</c:v>
                </c:pt>
                <c:pt idx="3">
                  <c:v>2002-03</c:v>
                </c:pt>
                <c:pt idx="4">
                  <c:v>2003-04</c:v>
                </c:pt>
                <c:pt idx="5">
                  <c:v>2004-05</c:v>
                </c:pt>
                <c:pt idx="6">
                  <c:v>2005-06</c:v>
                </c:pt>
                <c:pt idx="7">
                  <c:v>2006-07</c:v>
                </c:pt>
                <c:pt idx="8">
                  <c:v>2007-08</c:v>
                </c:pt>
                <c:pt idx="9">
                  <c:v>2008-09</c:v>
                </c:pt>
                <c:pt idx="10">
                  <c:v>2009-10</c:v>
                </c:pt>
                <c:pt idx="11">
                  <c:v>2010-11</c:v>
                </c:pt>
                <c:pt idx="12">
                  <c:v>2011-12</c:v>
                </c:pt>
                <c:pt idx="13">
                  <c:v>2012-13</c:v>
                </c:pt>
              </c:strCache>
            </c:strRef>
          </c:cat>
          <c:val>
            <c:numRef>
              <c:f>'War-Nar-Tra'!$H$23:$H$36</c:f>
              <c:numCache>
                <c:formatCode>#,##0</c:formatCode>
                <c:ptCount val="14"/>
                <c:pt idx="0">
                  <c:v>53000</c:v>
                </c:pt>
                <c:pt idx="1">
                  <c:v>56000</c:v>
                </c:pt>
                <c:pt idx="2">
                  <c:v>53000</c:v>
                </c:pt>
                <c:pt idx="3">
                  <c:v>30000</c:v>
                </c:pt>
                <c:pt idx="4">
                  <c:v>16000</c:v>
                </c:pt>
                <c:pt idx="5">
                  <c:v>7000</c:v>
                </c:pt>
                <c:pt idx="6">
                  <c:v>16000</c:v>
                </c:pt>
                <c:pt idx="7">
                  <c:v>13900</c:v>
                </c:pt>
                <c:pt idx="8">
                  <c:v>3210</c:v>
                </c:pt>
                <c:pt idx="9">
                  <c:v>4150</c:v>
                </c:pt>
                <c:pt idx="10">
                  <c:v>6200</c:v>
                </c:pt>
                <c:pt idx="11">
                  <c:v>16800</c:v>
                </c:pt>
                <c:pt idx="12">
                  <c:v>42000</c:v>
                </c:pt>
                <c:pt idx="13">
                  <c:v>41000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123344"/>
        <c:axId val="279122952"/>
      </c:lineChart>
      <c:catAx>
        <c:axId val="27912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2560"/>
        <c:crosses val="autoZero"/>
        <c:auto val="1"/>
        <c:lblAlgn val="ctr"/>
        <c:lblOffset val="100"/>
        <c:noMultiLvlLbl val="0"/>
      </c:catAx>
      <c:valAx>
        <c:axId val="27912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2168"/>
        <c:crosses val="autoZero"/>
        <c:crossBetween val="between"/>
      </c:valAx>
      <c:valAx>
        <c:axId val="2791229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123344"/>
        <c:crosses val="max"/>
        <c:crossBetween val="between"/>
      </c:valAx>
      <c:catAx>
        <c:axId val="27912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9122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'War-Nar-Tra'!$H$39</c:f>
              <c:strCache>
                <c:ptCount val="1"/>
                <c:pt idx="0">
                  <c:v>Total water</c:v>
                </c:pt>
              </c:strCache>
            </c:strRef>
          </c:tx>
          <c:marker>
            <c:symbol val="none"/>
          </c:marker>
          <c:cat>
            <c:strRef>
              <c:f>'War-Nar-Tra'!$G$40:$G$48</c:f>
              <c:strCache>
                <c:ptCount val="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'War-Nar-Tra'!$H$40:$H$48</c:f>
              <c:numCache>
                <c:formatCode>#,##0;[Red]\(#,##0\)</c:formatCode>
                <c:ptCount val="9"/>
                <c:pt idx="0">
                  <c:v>32165</c:v>
                </c:pt>
                <c:pt idx="1">
                  <c:v>72636</c:v>
                </c:pt>
                <c:pt idx="2">
                  <c:v>194173</c:v>
                </c:pt>
                <c:pt idx="3">
                  <c:v>14896</c:v>
                </c:pt>
                <c:pt idx="4">
                  <c:v>55254</c:v>
                </c:pt>
                <c:pt idx="5">
                  <c:v>90511</c:v>
                </c:pt>
                <c:pt idx="6">
                  <c:v>42819</c:v>
                </c:pt>
                <c:pt idx="7">
                  <c:v>493257.8</c:v>
                </c:pt>
                <c:pt idx="8">
                  <c:v>609959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94272"/>
        <c:axId val="294894664"/>
      </c:lineChart>
      <c:lineChart>
        <c:grouping val="standard"/>
        <c:varyColors val="0"/>
        <c:ser>
          <c:idx val="1"/>
          <c:order val="1"/>
          <c:tx>
            <c:strRef>
              <c:f>'War-Nar-Tra'!$I$39</c:f>
              <c:strCache>
                <c:ptCount val="1"/>
                <c:pt idx="0">
                  <c:v>Area</c:v>
                </c:pt>
              </c:strCache>
            </c:strRef>
          </c:tx>
          <c:marker>
            <c:symbol val="none"/>
          </c:marker>
          <c:cat>
            <c:strRef>
              <c:f>'War-Nar-Tra'!$G$40:$G$48</c:f>
              <c:strCache>
                <c:ptCount val="9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</c:strCache>
            </c:strRef>
          </c:cat>
          <c:val>
            <c:numRef>
              <c:f>'War-Nar-Tra'!$I$40:$I$48</c:f>
              <c:numCache>
                <c:formatCode>#,##0</c:formatCode>
                <c:ptCount val="9"/>
                <c:pt idx="0">
                  <c:v>7000</c:v>
                </c:pt>
                <c:pt idx="1">
                  <c:v>16000</c:v>
                </c:pt>
                <c:pt idx="2">
                  <c:v>13900</c:v>
                </c:pt>
                <c:pt idx="3">
                  <c:v>3210</c:v>
                </c:pt>
                <c:pt idx="4">
                  <c:v>4150</c:v>
                </c:pt>
                <c:pt idx="5">
                  <c:v>6200</c:v>
                </c:pt>
                <c:pt idx="6">
                  <c:v>16800</c:v>
                </c:pt>
                <c:pt idx="7">
                  <c:v>42000</c:v>
                </c:pt>
                <c:pt idx="8">
                  <c:v>41000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895448"/>
        <c:axId val="294895056"/>
      </c:lineChart>
      <c:catAx>
        <c:axId val="2948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4894664"/>
        <c:crosses val="autoZero"/>
        <c:auto val="1"/>
        <c:lblAlgn val="ctr"/>
        <c:lblOffset val="100"/>
        <c:noMultiLvlLbl val="0"/>
      </c:catAx>
      <c:valAx>
        <c:axId val="294894664"/>
        <c:scaling>
          <c:orientation val="minMax"/>
        </c:scaling>
        <c:delete val="0"/>
        <c:axPos val="l"/>
        <c:majorGridlines/>
        <c:numFmt formatCode="#,##0;[Red]\(#,##0\)" sourceLinked="1"/>
        <c:majorTickMark val="out"/>
        <c:minorTickMark val="none"/>
        <c:tickLblPos val="nextTo"/>
        <c:crossAx val="294894272"/>
        <c:crosses val="autoZero"/>
        <c:crossBetween val="between"/>
      </c:valAx>
      <c:valAx>
        <c:axId val="29489505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294895448"/>
        <c:crosses val="max"/>
        <c:crossBetween val="between"/>
      </c:valAx>
      <c:catAx>
        <c:axId val="294895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48950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Warren community hectares planted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'War-Nar-Tra'!$BE$1</c:f>
              <c:strCache>
                <c:ptCount val="1"/>
                <c:pt idx="0">
                  <c:v>actual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'War-Nar-Tra'!$BD$2:$BD$16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xVal>
          <c:yVal>
            <c:numRef>
              <c:f>'War-Nar-Tra'!$BE$2:$BE$16</c:f>
              <c:numCache>
                <c:formatCode>#,##0</c:formatCode>
                <c:ptCount val="15"/>
                <c:pt idx="0">
                  <c:v>30000</c:v>
                </c:pt>
                <c:pt idx="1">
                  <c:v>30416.666666666668</c:v>
                </c:pt>
                <c:pt idx="2">
                  <c:v>32166.666666666668</c:v>
                </c:pt>
                <c:pt idx="3">
                  <c:v>30416.666666666668</c:v>
                </c:pt>
                <c:pt idx="4">
                  <c:v>16965.599999999999</c:v>
                </c:pt>
                <c:pt idx="5">
                  <c:v>7827.11</c:v>
                </c:pt>
                <c:pt idx="6">
                  <c:v>2410.5</c:v>
                </c:pt>
                <c:pt idx="7">
                  <c:v>8353.27</c:v>
                </c:pt>
                <c:pt idx="8">
                  <c:v>6947.670000000001</c:v>
                </c:pt>
                <c:pt idx="9">
                  <c:v>294.15999999999997</c:v>
                </c:pt>
                <c:pt idx="10">
                  <c:v>1305.8499999999999</c:v>
                </c:pt>
                <c:pt idx="11">
                  <c:v>2388.0499999999997</c:v>
                </c:pt>
                <c:pt idx="12">
                  <c:v>7632.76</c:v>
                </c:pt>
                <c:pt idx="13">
                  <c:v>21502</c:v>
                </c:pt>
                <c:pt idx="14">
                  <c:v>21688.929999999993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'War-Nar-Tra'!$BF$1</c:f>
              <c:strCache>
                <c:ptCount val="1"/>
                <c:pt idx="0">
                  <c:v>estimate Ha 98 to 08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'War-Nar-Tra'!$BD$2:$BD$16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xVal>
          <c:yVal>
            <c:numRef>
              <c:f>'War-Nar-Tra'!$BF$2:$BF$16</c:f>
              <c:numCache>
                <c:formatCode>#,##0</c:formatCode>
                <c:ptCount val="15"/>
                <c:pt idx="0">
                  <c:v>32365.048645055685</c:v>
                </c:pt>
                <c:pt idx="1">
                  <c:v>24514.935562005568</c:v>
                </c:pt>
                <c:pt idx="2">
                  <c:v>31728.887713130836</c:v>
                </c:pt>
                <c:pt idx="3">
                  <c:v>13546.996948714203</c:v>
                </c:pt>
                <c:pt idx="4">
                  <c:v>2044.0897681191518</c:v>
                </c:pt>
                <c:pt idx="5">
                  <c:v>11944.464489084745</c:v>
                </c:pt>
                <c:pt idx="6">
                  <c:v>5573.6648399446358</c:v>
                </c:pt>
                <c:pt idx="7">
                  <c:v>18011.542777956409</c:v>
                </c:pt>
                <c:pt idx="8">
                  <c:v>12012.668349837186</c:v>
                </c:pt>
                <c:pt idx="9">
                  <c:v>5707.2327620530832</c:v>
                </c:pt>
                <c:pt idx="10">
                  <c:v>3649.2968350139085</c:v>
                </c:pt>
                <c:pt idx="11">
                  <c:v>10878.723243050275</c:v>
                </c:pt>
                <c:pt idx="12">
                  <c:v>34904.432271448903</c:v>
                </c:pt>
                <c:pt idx="13">
                  <c:v>27244.563715372587</c:v>
                </c:pt>
                <c:pt idx="14">
                  <c:v>26771.831265537519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96232"/>
        <c:axId val="294896624"/>
      </c:scatterChart>
      <c:valAx>
        <c:axId val="294896232"/>
        <c:scaling>
          <c:orientation val="minMax"/>
          <c:max val="2012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96624"/>
        <c:crosses val="autoZero"/>
        <c:crossBetween val="midCat"/>
      </c:valAx>
      <c:valAx>
        <c:axId val="29489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96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2003-04 to 2012-13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'War-Nar-Tra'!$AN$19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'War-Nar-Tra'!$AM$20:$AM$29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'War-Nar-Tra'!$AN$20:$AN$29</c:f>
              <c:numCache>
                <c:formatCode>#,##0</c:formatCode>
                <c:ptCount val="10"/>
                <c:pt idx="0">
                  <c:v>16000</c:v>
                </c:pt>
                <c:pt idx="1">
                  <c:v>7000</c:v>
                </c:pt>
                <c:pt idx="2">
                  <c:v>16000</c:v>
                </c:pt>
                <c:pt idx="3">
                  <c:v>13900</c:v>
                </c:pt>
                <c:pt idx="4">
                  <c:v>3210</c:v>
                </c:pt>
                <c:pt idx="5">
                  <c:v>4150</c:v>
                </c:pt>
                <c:pt idx="6">
                  <c:v>6200</c:v>
                </c:pt>
                <c:pt idx="7">
                  <c:v>16800</c:v>
                </c:pt>
                <c:pt idx="8">
                  <c:v>42000</c:v>
                </c:pt>
                <c:pt idx="9">
                  <c:v>41000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'War-Nar-Tra'!$AO$19</c:f>
              <c:strCache>
                <c:ptCount val="1"/>
                <c:pt idx="0">
                  <c:v>estimate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'War-Nar-Tra'!$AM$20:$AM$29</c:f>
              <c:strCache>
                <c:ptCount val="10"/>
                <c:pt idx="0">
                  <c:v>2003-04</c:v>
                </c:pt>
                <c:pt idx="1">
                  <c:v>2004-05</c:v>
                </c:pt>
                <c:pt idx="2">
                  <c:v>2005-06</c:v>
                </c:pt>
                <c:pt idx="3">
                  <c:v>2006-07</c:v>
                </c:pt>
                <c:pt idx="4">
                  <c:v>2007-08</c:v>
                </c:pt>
                <c:pt idx="5">
                  <c:v>2008-09</c:v>
                </c:pt>
                <c:pt idx="6">
                  <c:v>2009-10</c:v>
                </c:pt>
                <c:pt idx="7">
                  <c:v>2010-11</c:v>
                </c:pt>
                <c:pt idx="8">
                  <c:v>2011-12</c:v>
                </c:pt>
                <c:pt idx="9">
                  <c:v>2012-13</c:v>
                </c:pt>
              </c:strCache>
            </c:strRef>
          </c:cat>
          <c:val>
            <c:numRef>
              <c:f>'War-Nar-Tra'!$AO$20:$AO$29</c:f>
              <c:numCache>
                <c:formatCode>#,##0</c:formatCode>
                <c:ptCount val="10"/>
                <c:pt idx="0">
                  <c:v>5865.1524203586814</c:v>
                </c:pt>
                <c:pt idx="1">
                  <c:v>3434.7922242778895</c:v>
                </c:pt>
                <c:pt idx="2">
                  <c:v>9703.6122158297858</c:v>
                </c:pt>
                <c:pt idx="3">
                  <c:v>8038.3965836122015</c:v>
                </c:pt>
                <c:pt idx="4">
                  <c:v>3229.2031859100125</c:v>
                </c:pt>
                <c:pt idx="5">
                  <c:v>2458.5373792289283</c:v>
                </c:pt>
                <c:pt idx="6">
                  <c:v>4478.5239603776336</c:v>
                </c:pt>
                <c:pt idx="7">
                  <c:v>17576.824749191008</c:v>
                </c:pt>
                <c:pt idx="8">
                  <c:v>12892.478736263361</c:v>
                </c:pt>
                <c:pt idx="9">
                  <c:v>15117.573148303083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897408"/>
        <c:axId val="294897800"/>
      </c:lineChart>
      <c:catAx>
        <c:axId val="29489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97800"/>
        <c:crosses val="autoZero"/>
        <c:auto val="1"/>
        <c:lblAlgn val="ctr"/>
        <c:lblOffset val="100"/>
        <c:noMultiLvlLbl val="0"/>
      </c:catAx>
      <c:valAx>
        <c:axId val="29489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9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'War-Nar-Tra'!$CJ$17</c:f>
              <c:strCache>
                <c:ptCount val="1"/>
                <c:pt idx="0">
                  <c:v>SW Ha 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'War-Nar-Tra'!$CI$18:$CI$31</c:f>
              <c:numCache>
                <c:formatCode>mmm\-yy</c:formatCode>
                <c:ptCount val="14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</c:numCache>
            </c:numRef>
          </c:xVal>
          <c:yVal>
            <c:numRef>
              <c:f>'War-Nar-Tra'!$CJ$18:$CJ$31</c:f>
              <c:numCache>
                <c:formatCode>#,##0</c:formatCode>
                <c:ptCount val="14"/>
                <c:pt idx="0">
                  <c:v>8590.5236684909705</c:v>
                </c:pt>
                <c:pt idx="1">
                  <c:v>9105.6343933990811</c:v>
                </c:pt>
                <c:pt idx="2">
                  <c:v>8430.2953756949773</c:v>
                </c:pt>
                <c:pt idx="3">
                  <c:v>5807.7737941810401</c:v>
                </c:pt>
                <c:pt idx="4">
                  <c:v>3043.2507632939432</c:v>
                </c:pt>
                <c:pt idx="5">
                  <c:v>0</c:v>
                </c:pt>
                <c:pt idx="6">
                  <c:v>1837.5732287414171</c:v>
                </c:pt>
                <c:pt idx="7">
                  <c:v>1845.7767948807088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1233.1897684172309</c:v>
                </c:pt>
                <c:pt idx="12">
                  <c:v>8503.4024183666224</c:v>
                </c:pt>
                <c:pt idx="13">
                  <c:v>7293.3341842067794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'War-Nar-Tra'!$CK$17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'War-Nar-Tra'!$CI$18:$CI$31</c:f>
              <c:numCache>
                <c:formatCode>mmm\-yy</c:formatCode>
                <c:ptCount val="14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</c:numCache>
            </c:numRef>
          </c:xVal>
          <c:yVal>
            <c:numRef>
              <c:f>'War-Nar-Tra'!$CK$18:$CK$31</c:f>
              <c:numCache>
                <c:formatCode>#,##0</c:formatCode>
                <c:ptCount val="14"/>
                <c:pt idx="0">
                  <c:v>7559.4465091850088</c:v>
                </c:pt>
                <c:pt idx="1">
                  <c:v>8605.6999816692241</c:v>
                </c:pt>
                <c:pt idx="2">
                  <c:v>8262.6376027737424</c:v>
                </c:pt>
                <c:pt idx="3">
                  <c:v>7506.4431381380928</c:v>
                </c:pt>
                <c:pt idx="4">
                  <c:v>891.2113436482316</c:v>
                </c:pt>
                <c:pt idx="5">
                  <c:v>915.88250907125507</c:v>
                </c:pt>
                <c:pt idx="6">
                  <c:v>1478.0441000018245</c:v>
                </c:pt>
                <c:pt idx="7">
                  <c:v>2352.3852757789382</c:v>
                </c:pt>
                <c:pt idx="8">
                  <c:v>718.29560398908177</c:v>
                </c:pt>
                <c:pt idx="9">
                  <c:v>777.82789474744652</c:v>
                </c:pt>
                <c:pt idx="10">
                  <c:v>169.60751383334562</c:v>
                </c:pt>
                <c:pt idx="11">
                  <c:v>2191.0697610748471</c:v>
                </c:pt>
                <c:pt idx="12">
                  <c:v>1474.5253146166101</c:v>
                </c:pt>
                <c:pt idx="13">
                  <c:v>2792.6228092035967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'War-Nar-Tra'!$CL$17</c:f>
              <c:strCache>
                <c:ptCount val="1"/>
                <c:pt idx="0">
                  <c:v>est 2 Ha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'War-Nar-Tra'!$CI$18:$CI$31</c:f>
              <c:numCache>
                <c:formatCode>mmm\-yy</c:formatCode>
                <c:ptCount val="14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</c:numCache>
            </c:numRef>
          </c:xVal>
          <c:yVal>
            <c:numRef>
              <c:f>'War-Nar-Tra'!$CL$18:$CL$31</c:f>
              <c:numCache>
                <c:formatCode>#,##0</c:formatCode>
                <c:ptCount val="14"/>
                <c:pt idx="0">
                  <c:v>7653.1361335197926</c:v>
                </c:pt>
                <c:pt idx="1">
                  <c:v>8468.2631865715794</c:v>
                </c:pt>
                <c:pt idx="2">
                  <c:v>8200.9862472099958</c:v>
                </c:pt>
                <c:pt idx="3">
                  <c:v>7611.8416644647004</c:v>
                </c:pt>
                <c:pt idx="4">
                  <c:v>694.33506822149718</c:v>
                </c:pt>
                <c:pt idx="5">
                  <c:v>713.55616033302249</c:v>
                </c:pt>
                <c:pt idx="6">
                  <c:v>1151.5314053433106</c:v>
                </c:pt>
                <c:pt idx="7">
                  <c:v>1832.7230713368349</c:v>
                </c:pt>
                <c:pt idx="8">
                  <c:v>559.61790741727418</c:v>
                </c:pt>
                <c:pt idx="9">
                  <c:v>605.99900148625477</c:v>
                </c:pt>
                <c:pt idx="10">
                  <c:v>132.13975060761473</c:v>
                </c:pt>
                <c:pt idx="11">
                  <c:v>1707.0435457051897</c:v>
                </c:pt>
                <c:pt idx="12">
                  <c:v>7384.9091087229035</c:v>
                </c:pt>
                <c:pt idx="13">
                  <c:v>8411.8274938505019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98584"/>
        <c:axId val="294898976"/>
      </c:scatterChart>
      <c:valAx>
        <c:axId val="294898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98976"/>
        <c:crosses val="autoZero"/>
        <c:crossBetween val="midCat"/>
      </c:valAx>
      <c:valAx>
        <c:axId val="29489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98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Warren Ha planted actual v estimate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'War-Nar-Tra'!$BC$22</c:f>
              <c:strCache>
                <c:ptCount val="1"/>
                <c:pt idx="0">
                  <c:v>area planted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'War-Nar-Tra'!$BB$23:$BB$37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xVal>
          <c:yVal>
            <c:numRef>
              <c:f>'War-Nar-Tra'!$BC$23:$BC$37</c:f>
              <c:numCache>
                <c:formatCode>#,##0</c:formatCode>
                <c:ptCount val="15"/>
                <c:pt idx="0">
                  <c:v>30000</c:v>
                </c:pt>
                <c:pt idx="1">
                  <c:v>30416.666666666668</c:v>
                </c:pt>
                <c:pt idx="2">
                  <c:v>32166.666666666668</c:v>
                </c:pt>
                <c:pt idx="3">
                  <c:v>30416.666666666668</c:v>
                </c:pt>
                <c:pt idx="4">
                  <c:v>16965.599999999999</c:v>
                </c:pt>
                <c:pt idx="5">
                  <c:v>7827.11</c:v>
                </c:pt>
                <c:pt idx="6">
                  <c:v>2410.5</c:v>
                </c:pt>
                <c:pt idx="7">
                  <c:v>8353.27</c:v>
                </c:pt>
                <c:pt idx="8">
                  <c:v>6947.670000000001</c:v>
                </c:pt>
                <c:pt idx="9">
                  <c:v>294.15999999999997</c:v>
                </c:pt>
                <c:pt idx="10">
                  <c:v>1305.8499999999999</c:v>
                </c:pt>
                <c:pt idx="11">
                  <c:v>2388.0499999999997</c:v>
                </c:pt>
                <c:pt idx="12">
                  <c:v>7632.76</c:v>
                </c:pt>
                <c:pt idx="13">
                  <c:v>21502</c:v>
                </c:pt>
                <c:pt idx="14">
                  <c:v>21688.929999999993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'War-Nar-Tra'!$BE$22</c:f>
              <c:strCache>
                <c:ptCount val="1"/>
                <c:pt idx="0">
                  <c:v>est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'War-Nar-Tra'!$BB$23:$BB$37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xVal>
          <c:yVal>
            <c:numRef>
              <c:f>'War-Nar-Tra'!$BE$23:$BE$37</c:f>
              <c:numCache>
                <c:formatCode>#,##0</c:formatCode>
                <c:ptCount val="15"/>
                <c:pt idx="0">
                  <c:v>31707.936057442155</c:v>
                </c:pt>
                <c:pt idx="1">
                  <c:v>28121.388226780196</c:v>
                </c:pt>
                <c:pt idx="2">
                  <c:v>31590.752349191043</c:v>
                </c:pt>
                <c:pt idx="3">
                  <c:v>26671.34781284479</c:v>
                </c:pt>
                <c:pt idx="4">
                  <c:v>21874.175553741807</c:v>
                </c:pt>
                <c:pt idx="5">
                  <c:v>3790.2537152312952</c:v>
                </c:pt>
                <c:pt idx="6">
                  <c:v>2488.6764973146824</c:v>
                </c:pt>
                <c:pt idx="7">
                  <c:v>6601.9955848461159</c:v>
                </c:pt>
                <c:pt idx="8">
                  <c:v>6019.3985157604811</c:v>
                </c:pt>
                <c:pt idx="9">
                  <c:v>2251.2991765741344</c:v>
                </c:pt>
                <c:pt idx="10">
                  <c:v>1845.716046692814</c:v>
                </c:pt>
                <c:pt idx="11">
                  <c:v>2561.4234453836657</c:v>
                </c:pt>
                <c:pt idx="12">
                  <c:v>11527.353167813664</c:v>
                </c:pt>
                <c:pt idx="13">
                  <c:v>20402.958046325952</c:v>
                </c:pt>
                <c:pt idx="14">
                  <c:v>22787.971953674045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899760"/>
        <c:axId val="294900152"/>
      </c:scatterChart>
      <c:valAx>
        <c:axId val="294899760"/>
        <c:scaling>
          <c:orientation val="minMax"/>
          <c:max val="2012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900152"/>
        <c:crosses val="autoZero"/>
        <c:crossBetween val="midCat"/>
      </c:valAx>
      <c:valAx>
        <c:axId val="29490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899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'War-Nar-Tra'!$ET$2</c:f>
              <c:strCache>
                <c:ptCount val="1"/>
                <c:pt idx="0">
                  <c:v>GS water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'War-Nar-Tra'!$ER$3:$ER$16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'War-Nar-Tra'!$ET$3:$ET$16</c:f>
              <c:numCache>
                <c:formatCode>#,##0</c:formatCode>
                <c:ptCount val="14"/>
                <c:pt idx="0">
                  <c:v>47313.541646942496</c:v>
                </c:pt>
                <c:pt idx="1">
                  <c:v>103095.75199389448</c:v>
                </c:pt>
                <c:pt idx="2">
                  <c:v>52909.614352792501</c:v>
                </c:pt>
                <c:pt idx="3">
                  <c:v>20855.422476694006</c:v>
                </c:pt>
                <c:pt idx="4">
                  <c:v>34681.670784682035</c:v>
                </c:pt>
                <c:pt idx="5">
                  <c:v>28982.243415296074</c:v>
                </c:pt>
                <c:pt idx="6">
                  <c:v>77425.551112890258</c:v>
                </c:pt>
                <c:pt idx="7">
                  <c:v>82613.415639415383</c:v>
                </c:pt>
                <c:pt idx="8">
                  <c:v>23854.011498922493</c:v>
                </c:pt>
                <c:pt idx="9">
                  <c:v>26209.866728700701</c:v>
                </c:pt>
                <c:pt idx="10">
                  <c:v>12096.613021820789</c:v>
                </c:pt>
                <c:pt idx="11">
                  <c:v>114424.55259096621</c:v>
                </c:pt>
                <c:pt idx="12">
                  <c:v>54207.687268614769</c:v>
                </c:pt>
                <c:pt idx="13">
                  <c:v>125624.75051429862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900936"/>
        <c:axId val="294901328"/>
      </c:scatterChart>
      <c:scatterChart>
        <c:scatterStyle val="lineMarker"/>
        <c:varyColors val="0"/>
        <c:ser>
          <c:idx val="0"/>
          <c:order val="0"/>
          <c:tx>
            <c:strRef>
              <c:f>'War-Nar-Tra'!$ES$2</c:f>
              <c:strCache>
                <c:ptCount val="1"/>
                <c:pt idx="0">
                  <c:v>GS area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'War-Nar-Tra'!$ER$3:$ER$16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'War-Nar-Tra'!$ES$3:$ES$16</c:f>
              <c:numCache>
                <c:formatCode>#,##0</c:formatCode>
                <c:ptCount val="14"/>
                <c:pt idx="0">
                  <c:v>11134.459329623023</c:v>
                </c:pt>
                <c:pt idx="1">
                  <c:v>11889.101565949493</c:v>
                </c:pt>
                <c:pt idx="2">
                  <c:v>10050.983419889508</c:v>
                </c:pt>
                <c:pt idx="3">
                  <c:v>2110.1590801762873</c:v>
                </c:pt>
                <c:pt idx="4">
                  <c:v>471.33544747643202</c:v>
                </c:pt>
                <c:pt idx="5">
                  <c:v>0</c:v>
                </c:pt>
                <c:pt idx="6">
                  <c:v>1281.525880828053</c:v>
                </c:pt>
                <c:pt idx="7">
                  <c:v>732.21358934387376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4376.3523203648565</c:v>
                </c:pt>
                <c:pt idx="12">
                  <c:v>8491.3079151253714</c:v>
                </c:pt>
                <c:pt idx="13">
                  <c:v>7241.0329103555487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31992"/>
        <c:axId val="295231600"/>
      </c:scatterChart>
      <c:valAx>
        <c:axId val="29490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901328"/>
        <c:crosses val="autoZero"/>
        <c:crossBetween val="midCat"/>
      </c:valAx>
      <c:valAx>
        <c:axId val="29490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4900936"/>
        <c:crosses val="autoZero"/>
        <c:crossBetween val="midCat"/>
      </c:valAx>
      <c:valAx>
        <c:axId val="2952316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1992"/>
        <c:crosses val="max"/>
        <c:crossBetween val="midCat"/>
      </c:valAx>
      <c:valAx>
        <c:axId val="295231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231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'War-Nar-Tra'!$ER$24</c:f>
              <c:strCache>
                <c:ptCount val="1"/>
                <c:pt idx="0">
                  <c:v>GS area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'War-Nar-Tra'!$EQ$25:$EQ$38</c:f>
              <c:numCache>
                <c:formatCode>mmm\-yy</c:formatCode>
                <c:ptCount val="14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</c:numCache>
            </c:numRef>
          </c:xVal>
          <c:yVal>
            <c:numRef>
              <c:f>'War-Nar-Tra'!$ER$25:$ER$38</c:f>
              <c:numCache>
                <c:formatCode>#,##0</c:formatCode>
                <c:ptCount val="14"/>
                <c:pt idx="0">
                  <c:v>11134.459329623023</c:v>
                </c:pt>
                <c:pt idx="1">
                  <c:v>11889.101565949493</c:v>
                </c:pt>
                <c:pt idx="2">
                  <c:v>10050.983419889508</c:v>
                </c:pt>
                <c:pt idx="3">
                  <c:v>2110.1590801762873</c:v>
                </c:pt>
                <c:pt idx="4">
                  <c:v>471.33544747643202</c:v>
                </c:pt>
                <c:pt idx="5">
                  <c:v>0</c:v>
                </c:pt>
                <c:pt idx="6">
                  <c:v>1281.525880828053</c:v>
                </c:pt>
                <c:pt idx="7">
                  <c:v>732.21358934387376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4376.3523203648565</c:v>
                </c:pt>
                <c:pt idx="12">
                  <c:v>8491.3079151253714</c:v>
                </c:pt>
                <c:pt idx="13">
                  <c:v>7241.0329103555487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'War-Nar-Tra'!$ES$24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'War-Nar-Tra'!$EQ$25:$EQ$38</c:f>
              <c:numCache>
                <c:formatCode>mmm\-yy</c:formatCode>
                <c:ptCount val="14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</c:numCache>
            </c:numRef>
          </c:xVal>
          <c:yVal>
            <c:numRef>
              <c:f>'War-Nar-Tra'!$ES$25:$ES$38</c:f>
              <c:numCache>
                <c:formatCode>#,##0</c:formatCode>
                <c:ptCount val="14"/>
                <c:pt idx="0">
                  <c:v>8506.542741638088</c:v>
                </c:pt>
                <c:pt idx="1">
                  <c:v>10147.178864363315</c:v>
                </c:pt>
                <c:pt idx="2">
                  <c:v>8709.9698823741164</c:v>
                </c:pt>
                <c:pt idx="3">
                  <c:v>7821.0119072627831</c:v>
                </c:pt>
                <c:pt idx="4">
                  <c:v>870.13573011516689</c:v>
                </c:pt>
                <c:pt idx="5">
                  <c:v>799.14411473335554</c:v>
                </c:pt>
                <c:pt idx="6">
                  <c:v>2100.4140493309324</c:v>
                </c:pt>
                <c:pt idx="7">
                  <c:v>2341.6343410052573</c:v>
                </c:pt>
                <c:pt idx="8">
                  <c:v>633.37377344974891</c:v>
                </c:pt>
                <c:pt idx="9">
                  <c:v>741.13457093877628</c:v>
                </c:pt>
                <c:pt idx="10">
                  <c:v>229.17367819500089</c:v>
                </c:pt>
                <c:pt idx="11">
                  <c:v>3129.8712824681793</c:v>
                </c:pt>
                <c:pt idx="12">
                  <c:v>6825.0285147933882</c:v>
                </c:pt>
                <c:pt idx="13">
                  <c:v>8907.31231068753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32776"/>
        <c:axId val="295233168"/>
      </c:scatterChart>
      <c:valAx>
        <c:axId val="295232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3168"/>
        <c:crosses val="autoZero"/>
        <c:crossBetween val="midCat"/>
      </c:valAx>
      <c:valAx>
        <c:axId val="29523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27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Warren actual v estimated potential area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'War-Nar-Tra'!$BC$46</c:f>
              <c:strCache>
                <c:ptCount val="1"/>
                <c:pt idx="0">
                  <c:v>actual Ha planted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'War-Nar-Tra'!$BB$47:$BB$61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xVal>
          <c:yVal>
            <c:numRef>
              <c:f>'War-Nar-Tra'!$BC$47:$BC$61</c:f>
              <c:numCache>
                <c:formatCode>#,##0</c:formatCode>
                <c:ptCount val="15"/>
                <c:pt idx="0">
                  <c:v>30000</c:v>
                </c:pt>
                <c:pt idx="1">
                  <c:v>30416.666666666668</c:v>
                </c:pt>
                <c:pt idx="2">
                  <c:v>32166.666666666668</c:v>
                </c:pt>
                <c:pt idx="3">
                  <c:v>30416.666666666668</c:v>
                </c:pt>
                <c:pt idx="4">
                  <c:v>16965.599999999999</c:v>
                </c:pt>
                <c:pt idx="5">
                  <c:v>7827.11</c:v>
                </c:pt>
                <c:pt idx="6">
                  <c:v>2410.5</c:v>
                </c:pt>
                <c:pt idx="7">
                  <c:v>8353.27</c:v>
                </c:pt>
                <c:pt idx="8">
                  <c:v>6947.670000000001</c:v>
                </c:pt>
                <c:pt idx="9">
                  <c:v>294.15999999999997</c:v>
                </c:pt>
                <c:pt idx="10">
                  <c:v>1305.8499999999999</c:v>
                </c:pt>
                <c:pt idx="11">
                  <c:v>2388.0499999999997</c:v>
                </c:pt>
                <c:pt idx="12">
                  <c:v>7632.76</c:v>
                </c:pt>
                <c:pt idx="13">
                  <c:v>21502</c:v>
                </c:pt>
                <c:pt idx="14">
                  <c:v>21688.929999999993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'War-Nar-Tra'!$BD$46</c:f>
              <c:strCache>
                <c:ptCount val="1"/>
                <c:pt idx="0">
                  <c:v>est of potential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'War-Nar-Tra'!$BB$47:$BB$61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xVal>
          <c:yVal>
            <c:numRef>
              <c:f>'War-Nar-Tra'!$BD$47:$BD$61</c:f>
              <c:numCache>
                <c:formatCode>#,##0</c:formatCode>
                <c:ptCount val="15"/>
                <c:pt idx="0">
                  <c:v>31707.936057442155</c:v>
                </c:pt>
                <c:pt idx="1">
                  <c:v>28121.388226780196</c:v>
                </c:pt>
                <c:pt idx="2">
                  <c:v>31590.752349191043</c:v>
                </c:pt>
                <c:pt idx="3">
                  <c:v>26671.34781284479</c:v>
                </c:pt>
                <c:pt idx="4">
                  <c:v>21874.175553741807</c:v>
                </c:pt>
                <c:pt idx="5">
                  <c:v>3790.2537152312952</c:v>
                </c:pt>
                <c:pt idx="6">
                  <c:v>2488.6764973146824</c:v>
                </c:pt>
                <c:pt idx="7">
                  <c:v>6601.9955848461159</c:v>
                </c:pt>
                <c:pt idx="8">
                  <c:v>6019.3985157604811</c:v>
                </c:pt>
                <c:pt idx="9">
                  <c:v>2251.2991765741344</c:v>
                </c:pt>
                <c:pt idx="10">
                  <c:v>1845.716046692814</c:v>
                </c:pt>
                <c:pt idx="11">
                  <c:v>2561.4234453836657</c:v>
                </c:pt>
                <c:pt idx="12">
                  <c:v>11527.353167813664</c:v>
                </c:pt>
                <c:pt idx="13">
                  <c:v>29027.412262040205</c:v>
                </c:pt>
                <c:pt idx="14">
                  <c:v>31412.426169388298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33952"/>
        <c:axId val="295234344"/>
      </c:scatterChart>
      <c:valAx>
        <c:axId val="295233952"/>
        <c:scaling>
          <c:orientation val="minMax"/>
          <c:max val="2012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4344"/>
        <c:crosses val="autoZero"/>
        <c:crossBetween val="midCat"/>
      </c:valAx>
      <c:valAx>
        <c:axId val="29523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3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Trangie actual and potential area from 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'War-Nar-Tra'!$CC$49</c:f>
              <c:strCache>
                <c:ptCount val="1"/>
                <c:pt idx="0">
                  <c:v>SW Ha 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'War-Nar-Tra'!$CB$50:$CB$63</c:f>
              <c:numCache>
                <c:formatCode>0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'War-Nar-Tra'!$CC$50:$CC$63</c:f>
              <c:numCache>
                <c:formatCode>#,##0</c:formatCode>
                <c:ptCount val="14"/>
                <c:pt idx="0">
                  <c:v>8590.5236684909705</c:v>
                </c:pt>
                <c:pt idx="1">
                  <c:v>9105.6343933990811</c:v>
                </c:pt>
                <c:pt idx="2">
                  <c:v>8430.2953756949773</c:v>
                </c:pt>
                <c:pt idx="3">
                  <c:v>5807.7737941810401</c:v>
                </c:pt>
                <c:pt idx="4">
                  <c:v>3043.2507632939432</c:v>
                </c:pt>
                <c:pt idx="5">
                  <c:v>0</c:v>
                </c:pt>
                <c:pt idx="6">
                  <c:v>1837.5732287414171</c:v>
                </c:pt>
                <c:pt idx="7">
                  <c:v>1845.7767948807088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1233.1897684172309</c:v>
                </c:pt>
                <c:pt idx="12">
                  <c:v>8503.4024183666224</c:v>
                </c:pt>
                <c:pt idx="13">
                  <c:v>7293.3341842067794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'War-Nar-Tra'!$CD$49</c:f>
              <c:strCache>
                <c:ptCount val="1"/>
                <c:pt idx="0">
                  <c:v>SW Ha core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'War-Nar-Tra'!$CB$50:$CB$63</c:f>
              <c:numCache>
                <c:formatCode>0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'War-Nar-Tra'!$CD$50:$CD$63</c:f>
              <c:numCache>
                <c:formatCode>#,##0</c:formatCode>
                <c:ptCount val="14"/>
                <c:pt idx="0">
                  <c:v>7653.1361335197926</c:v>
                </c:pt>
                <c:pt idx="1">
                  <c:v>8468.2631865715794</c:v>
                </c:pt>
                <c:pt idx="2">
                  <c:v>8200.9862472099958</c:v>
                </c:pt>
                <c:pt idx="3">
                  <c:v>7611.8416644647004</c:v>
                </c:pt>
                <c:pt idx="4">
                  <c:v>694.33506822149718</c:v>
                </c:pt>
                <c:pt idx="5">
                  <c:v>713.55616033302249</c:v>
                </c:pt>
                <c:pt idx="6">
                  <c:v>1151.5314053433106</c:v>
                </c:pt>
                <c:pt idx="7">
                  <c:v>1832.7230713368349</c:v>
                </c:pt>
                <c:pt idx="8">
                  <c:v>559.61790741727418</c:v>
                </c:pt>
                <c:pt idx="9">
                  <c:v>605.99900148625477</c:v>
                </c:pt>
                <c:pt idx="10">
                  <c:v>132.13975060761473</c:v>
                </c:pt>
                <c:pt idx="11">
                  <c:v>1707.0435457051897</c:v>
                </c:pt>
                <c:pt idx="12">
                  <c:v>8027.9511375516695</c:v>
                </c:pt>
                <c:pt idx="13">
                  <c:v>9054.8695226792679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35128"/>
        <c:axId val="295235520"/>
      </c:scatterChart>
      <c:valAx>
        <c:axId val="295235128"/>
        <c:scaling>
          <c:orientation val="minMax"/>
          <c:max val="2012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5520"/>
        <c:crosses val="autoZero"/>
        <c:crossBetween val="midCat"/>
        <c:majorUnit val="1"/>
      </c:valAx>
      <c:valAx>
        <c:axId val="2952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5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Narromine estimated and potential area from 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'War-Nar-Tra'!$EG$47</c:f>
              <c:strCache>
                <c:ptCount val="1"/>
                <c:pt idx="0">
                  <c:v>SW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'War-Nar-Tra'!$EF$48:$EF$61</c:f>
              <c:numCache>
                <c:formatCode>0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'War-Nar-Tra'!$EG$48:$EG$61</c:f>
              <c:numCache>
                <c:formatCode>#,##0</c:formatCode>
                <c:ptCount val="14"/>
                <c:pt idx="0">
                  <c:v>11134.460174150447</c:v>
                </c:pt>
                <c:pt idx="1">
                  <c:v>11909.217372948919</c:v>
                </c:pt>
                <c:pt idx="2">
                  <c:v>10050.981330011065</c:v>
                </c:pt>
                <c:pt idx="3">
                  <c:v>2110.1608193234892</c:v>
                </c:pt>
                <c:pt idx="4">
                  <c:v>471.33384013542189</c:v>
                </c:pt>
                <c:pt idx="5">
                  <c:v>0</c:v>
                </c:pt>
                <c:pt idx="6">
                  <c:v>1418.9470152744718</c:v>
                </c:pt>
                <c:pt idx="7">
                  <c:v>732.2141804787002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4376.3509023808228</c:v>
                </c:pt>
                <c:pt idx="12">
                  <c:v>8491.3056513240426</c:v>
                </c:pt>
                <c:pt idx="13">
                  <c:v>7241.0298664883567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'War-Nar-Tra'!$EH$47</c:f>
              <c:strCache>
                <c:ptCount val="1"/>
                <c:pt idx="0">
                  <c:v>potential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'War-Nar-Tra'!$EF$48:$EF$61</c:f>
              <c:numCache>
                <c:formatCode>0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'War-Nar-Tra'!$EH$48:$EH$61</c:f>
              <c:numCache>
                <c:formatCode>#,##0</c:formatCode>
                <c:ptCount val="14"/>
                <c:pt idx="0">
                  <c:v>8506.542741638088</c:v>
                </c:pt>
                <c:pt idx="1">
                  <c:v>10147.178864363315</c:v>
                </c:pt>
                <c:pt idx="2">
                  <c:v>8709.9698823741164</c:v>
                </c:pt>
                <c:pt idx="3">
                  <c:v>7821.0119072627831</c:v>
                </c:pt>
                <c:pt idx="4">
                  <c:v>870.13573011516689</c:v>
                </c:pt>
                <c:pt idx="5">
                  <c:v>799.14411473335554</c:v>
                </c:pt>
                <c:pt idx="6">
                  <c:v>2100.4140493309324</c:v>
                </c:pt>
                <c:pt idx="7">
                  <c:v>2341.6343410052573</c:v>
                </c:pt>
                <c:pt idx="8">
                  <c:v>633.37377344974891</c:v>
                </c:pt>
                <c:pt idx="9">
                  <c:v>741.13457093877628</c:v>
                </c:pt>
                <c:pt idx="10">
                  <c:v>229.17367819500089</c:v>
                </c:pt>
                <c:pt idx="11">
                  <c:v>3129.8712824681793</c:v>
                </c:pt>
                <c:pt idx="12">
                  <c:v>8652.0350674291803</c:v>
                </c:pt>
                <c:pt idx="13">
                  <c:v>10734.318863323322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36304"/>
        <c:axId val="295236696"/>
      </c:scatterChart>
      <c:valAx>
        <c:axId val="295236304"/>
        <c:scaling>
          <c:orientation val="minMax"/>
          <c:max val="2012"/>
          <c:min val="199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6696"/>
        <c:crosses val="autoZero"/>
        <c:crossBetween val="midCat"/>
      </c:valAx>
      <c:valAx>
        <c:axId val="29523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6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Trangie irrigated Ha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'War-Nar-Tra'!$CK$69</c:f>
              <c:strCache>
                <c:ptCount val="1"/>
                <c:pt idx="0">
                  <c:v>SW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'War-Nar-Tra'!$CJ$70:$CJ$83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'War-Nar-Tra'!$CK$70:$CK$83</c:f>
              <c:numCache>
                <c:formatCode>#,##0</c:formatCode>
                <c:ptCount val="14"/>
                <c:pt idx="0">
                  <c:v>8590.5236684909705</c:v>
                </c:pt>
                <c:pt idx="1">
                  <c:v>9105.6343933990811</c:v>
                </c:pt>
                <c:pt idx="2">
                  <c:v>8430.2953756949773</c:v>
                </c:pt>
                <c:pt idx="3">
                  <c:v>5807.7737941810401</c:v>
                </c:pt>
                <c:pt idx="4">
                  <c:v>3043.2507632939432</c:v>
                </c:pt>
                <c:pt idx="5">
                  <c:v>0</c:v>
                </c:pt>
                <c:pt idx="6">
                  <c:v>1837.5732287414171</c:v>
                </c:pt>
                <c:pt idx="7">
                  <c:v>1845.7767948807088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1233.1897684172309</c:v>
                </c:pt>
                <c:pt idx="12">
                  <c:v>8503.4024183666224</c:v>
                </c:pt>
                <c:pt idx="13">
                  <c:v>7293.3341842067794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'War-Nar-Tra'!$CL$69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'War-Nar-Tra'!$CJ$70:$CJ$83</c:f>
              <c:numCache>
                <c:formatCode>General</c:formatCode>
                <c:ptCount val="1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</c:numCache>
            </c:numRef>
          </c:xVal>
          <c:yVal>
            <c:numRef>
              <c:f>'War-Nar-Tra'!$CL$70:$CL$83</c:f>
              <c:numCache>
                <c:formatCode>#,##0</c:formatCode>
                <c:ptCount val="14"/>
                <c:pt idx="0">
                  <c:v>7657.5771229544571</c:v>
                </c:pt>
                <c:pt idx="1">
                  <c:v>8576.1209414390178</c:v>
                </c:pt>
                <c:pt idx="2">
                  <c:v>8130.2914913945251</c:v>
                </c:pt>
                <c:pt idx="3">
                  <c:v>7570.2376759780618</c:v>
                </c:pt>
                <c:pt idx="4">
                  <c:v>690.4926130655457</c:v>
                </c:pt>
                <c:pt idx="5">
                  <c:v>608.8934551202417</c:v>
                </c:pt>
                <c:pt idx="6">
                  <c:v>1028.8656564791725</c:v>
                </c:pt>
                <c:pt idx="7">
                  <c:v>1659.6726624103776</c:v>
                </c:pt>
                <c:pt idx="8">
                  <c:v>623.21441863807888</c:v>
                </c:pt>
                <c:pt idx="9">
                  <c:v>546.38358878072461</c:v>
                </c:pt>
                <c:pt idx="10">
                  <c:v>112.84704043327609</c:v>
                </c:pt>
                <c:pt idx="11">
                  <c:v>1801.9143268343707</c:v>
                </c:pt>
                <c:pt idx="12">
                  <c:v>7296.6069550910988</c:v>
                </c:pt>
                <c:pt idx="13">
                  <c:v>8500.129647482303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37480"/>
        <c:axId val="295237872"/>
      </c:scatterChart>
      <c:valAx>
        <c:axId val="295237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7872"/>
        <c:crosses val="autoZero"/>
        <c:crossBetween val="midCat"/>
      </c:valAx>
      <c:valAx>
        <c:axId val="29523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7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Narromine irrigated area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'War-Nar-Tra'!$EK$69</c:f>
              <c:strCache>
                <c:ptCount val="1"/>
                <c:pt idx="0">
                  <c:v>SW Ha est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'War-Nar-Tra'!$EJ$70:$EJ$83</c:f>
              <c:numCache>
                <c:formatCode>mmm\-yy</c:formatCode>
                <c:ptCount val="14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</c:numCache>
            </c:numRef>
          </c:xVal>
          <c:yVal>
            <c:numRef>
              <c:f>'War-Nar-Tra'!$EK$70:$EK$83</c:f>
              <c:numCache>
                <c:formatCode>#,##0</c:formatCode>
                <c:ptCount val="14"/>
                <c:pt idx="0">
                  <c:v>11134.459329623023</c:v>
                </c:pt>
                <c:pt idx="1">
                  <c:v>11889.101565949493</c:v>
                </c:pt>
                <c:pt idx="2">
                  <c:v>10050.983419889508</c:v>
                </c:pt>
                <c:pt idx="3">
                  <c:v>2110.1590801762873</c:v>
                </c:pt>
                <c:pt idx="4">
                  <c:v>471.33544747643202</c:v>
                </c:pt>
                <c:pt idx="5">
                  <c:v>0</c:v>
                </c:pt>
                <c:pt idx="6">
                  <c:v>1281.525880828053</c:v>
                </c:pt>
                <c:pt idx="7">
                  <c:v>732.21358934387376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4376.3523203648565</c:v>
                </c:pt>
                <c:pt idx="12">
                  <c:v>8491.3079151253714</c:v>
                </c:pt>
                <c:pt idx="13">
                  <c:v>7241.0329103555487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'War-Nar-Tra'!$EL$69</c:f>
              <c:strCache>
                <c:ptCount val="1"/>
                <c:pt idx="0">
                  <c:v>est of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'War-Nar-Tra'!$EJ$70:$EJ$83</c:f>
              <c:numCache>
                <c:formatCode>mmm\-yy</c:formatCode>
                <c:ptCount val="14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</c:numCache>
            </c:numRef>
          </c:xVal>
          <c:yVal>
            <c:numRef>
              <c:f>'War-Nar-Tra'!$EL$70:$EL$83</c:f>
              <c:numCache>
                <c:formatCode>#,##0</c:formatCode>
                <c:ptCount val="14"/>
                <c:pt idx="0">
                  <c:v>10595.132616828982</c:v>
                </c:pt>
                <c:pt idx="1">
                  <c:v>11766.743090445621</c:v>
                </c:pt>
                <c:pt idx="2">
                  <c:v>10712.668608187421</c:v>
                </c:pt>
                <c:pt idx="3">
                  <c:v>438.03268557158771</c:v>
                </c:pt>
                <c:pt idx="4">
                  <c:v>728.42952047126926</c:v>
                </c:pt>
                <c:pt idx="5">
                  <c:v>608.72274015443668</c:v>
                </c:pt>
                <c:pt idx="6">
                  <c:v>1626.1920430401049</c:v>
                </c:pt>
                <c:pt idx="7">
                  <c:v>1735.1543157284118</c:v>
                </c:pt>
                <c:pt idx="8">
                  <c:v>501.01294904023922</c:v>
                </c:pt>
                <c:pt idx="9">
                  <c:v>550.49368213355422</c:v>
                </c:pt>
                <c:pt idx="10">
                  <c:v>254.06878686776665</c:v>
                </c:pt>
                <c:pt idx="11">
                  <c:v>2403.2931542268893</c:v>
                </c:pt>
                <c:pt idx="12">
                  <c:v>7116.1734264866045</c:v>
                </c:pt>
                <c:pt idx="13">
                  <c:v>8616.1673989943138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238656"/>
        <c:axId val="295239048"/>
      </c:scatterChart>
      <c:valAx>
        <c:axId val="29523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9048"/>
        <c:crosses val="autoZero"/>
        <c:crossBetween val="midCat"/>
      </c:valAx>
      <c:valAx>
        <c:axId val="29523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238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Boggabri GW use and 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NamoiGunBog!$AB$9:$AB$16</c:f>
              <c:numCache>
                <c:formatCode>mmm\-yy</c:formatCode>
                <c:ptCount val="8"/>
                <c:pt idx="0">
                  <c:v>39022</c:v>
                </c:pt>
                <c:pt idx="1">
                  <c:v>39387</c:v>
                </c:pt>
                <c:pt idx="2">
                  <c:v>39753</c:v>
                </c:pt>
                <c:pt idx="3">
                  <c:v>40118</c:v>
                </c:pt>
                <c:pt idx="4">
                  <c:v>40483</c:v>
                </c:pt>
                <c:pt idx="5">
                  <c:v>40848</c:v>
                </c:pt>
                <c:pt idx="6">
                  <c:v>41214</c:v>
                </c:pt>
                <c:pt idx="7">
                  <c:v>41579</c:v>
                </c:pt>
              </c:numCache>
            </c:numRef>
          </c:xVal>
          <c:yVal>
            <c:numRef>
              <c:f>NamoiGunBog!$AD$9:$AD$16</c:f>
              <c:numCache>
                <c:formatCode>#,##0</c:formatCode>
                <c:ptCount val="8"/>
                <c:pt idx="0">
                  <c:v>22932.03</c:v>
                </c:pt>
                <c:pt idx="1">
                  <c:v>18205.54</c:v>
                </c:pt>
                <c:pt idx="2">
                  <c:v>15725.31</c:v>
                </c:pt>
                <c:pt idx="3">
                  <c:v>14915.640000000001</c:v>
                </c:pt>
                <c:pt idx="4">
                  <c:v>10333.9</c:v>
                </c:pt>
                <c:pt idx="5">
                  <c:v>7789.7499999999991</c:v>
                </c:pt>
                <c:pt idx="6">
                  <c:v>17572.259999999998</c:v>
                </c:pt>
                <c:pt idx="7">
                  <c:v>20690.830000000002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08824"/>
        <c:axId val="295609216"/>
      </c:scatterChar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NamoiGunBog!$AB$9:$AB$16</c:f>
              <c:numCache>
                <c:formatCode>mmm\-yy</c:formatCode>
                <c:ptCount val="8"/>
                <c:pt idx="0">
                  <c:v>39022</c:v>
                </c:pt>
                <c:pt idx="1">
                  <c:v>39387</c:v>
                </c:pt>
                <c:pt idx="2">
                  <c:v>39753</c:v>
                </c:pt>
                <c:pt idx="3">
                  <c:v>40118</c:v>
                </c:pt>
                <c:pt idx="4">
                  <c:v>40483</c:v>
                </c:pt>
                <c:pt idx="5">
                  <c:v>40848</c:v>
                </c:pt>
                <c:pt idx="6">
                  <c:v>41214</c:v>
                </c:pt>
                <c:pt idx="7">
                  <c:v>41579</c:v>
                </c:pt>
              </c:numCache>
            </c:numRef>
          </c:xVal>
          <c:yVal>
            <c:numRef>
              <c:f>NamoiGunBog!$AC$9:$AC$16</c:f>
              <c:numCache>
                <c:formatCode>#,##0</c:formatCode>
                <c:ptCount val="8"/>
                <c:pt idx="0">
                  <c:v>1713.53</c:v>
                </c:pt>
                <c:pt idx="1">
                  <c:v>1293.01</c:v>
                </c:pt>
                <c:pt idx="2">
                  <c:v>1714.18</c:v>
                </c:pt>
                <c:pt idx="3">
                  <c:v>2453.6199999999994</c:v>
                </c:pt>
                <c:pt idx="4">
                  <c:v>3442.5899999999997</c:v>
                </c:pt>
                <c:pt idx="5">
                  <c:v>2239.2599999999998</c:v>
                </c:pt>
                <c:pt idx="6">
                  <c:v>3192.9</c:v>
                </c:pt>
                <c:pt idx="7">
                  <c:v>2396.7799999999997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0000"/>
        <c:axId val="295609608"/>
      </c:scatterChart>
      <c:valAx>
        <c:axId val="295608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09216"/>
        <c:crosses val="autoZero"/>
        <c:crossBetween val="midCat"/>
      </c:valAx>
      <c:valAx>
        <c:axId val="2956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08824"/>
        <c:crosses val="autoZero"/>
        <c:crossBetween val="midCat"/>
      </c:valAx>
      <c:valAx>
        <c:axId val="2956096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0000"/>
        <c:crosses val="max"/>
        <c:crossBetween val="midCat"/>
      </c:valAx>
      <c:valAx>
        <c:axId val="2956100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95609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Boggabri GW use and in-crop rain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NamoiGunBog!$AB$9:$AB$16</c:f>
              <c:numCache>
                <c:formatCode>mmm\-yy</c:formatCode>
                <c:ptCount val="8"/>
                <c:pt idx="0">
                  <c:v>39022</c:v>
                </c:pt>
                <c:pt idx="1">
                  <c:v>39387</c:v>
                </c:pt>
                <c:pt idx="2">
                  <c:v>39753</c:v>
                </c:pt>
                <c:pt idx="3">
                  <c:v>40118</c:v>
                </c:pt>
                <c:pt idx="4">
                  <c:v>40483</c:v>
                </c:pt>
                <c:pt idx="5">
                  <c:v>40848</c:v>
                </c:pt>
                <c:pt idx="6">
                  <c:v>41214</c:v>
                </c:pt>
                <c:pt idx="7">
                  <c:v>41579</c:v>
                </c:pt>
              </c:numCache>
            </c:numRef>
          </c:xVal>
          <c:yVal>
            <c:numRef>
              <c:f>NamoiGunBog!$AC$9:$AC$16</c:f>
              <c:numCache>
                <c:formatCode>#,##0</c:formatCode>
                <c:ptCount val="8"/>
                <c:pt idx="0">
                  <c:v>1713.53</c:v>
                </c:pt>
                <c:pt idx="1">
                  <c:v>1293.01</c:v>
                </c:pt>
                <c:pt idx="2">
                  <c:v>1714.18</c:v>
                </c:pt>
                <c:pt idx="3">
                  <c:v>2453.6199999999994</c:v>
                </c:pt>
                <c:pt idx="4">
                  <c:v>3442.5899999999997</c:v>
                </c:pt>
                <c:pt idx="5">
                  <c:v>2239.2599999999998</c:v>
                </c:pt>
                <c:pt idx="6">
                  <c:v>3192.9</c:v>
                </c:pt>
                <c:pt idx="7">
                  <c:v>2396.7799999999997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0784"/>
        <c:axId val="295611176"/>
      </c:scatterChart>
      <c:scatterChart>
        <c:scatterStyle val="lineMarker"/>
        <c:varyColors val="0"/>
        <c:ser>
          <c:idx val="2"/>
          <c:order val="1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NamoiGunBog!$AB$9:$AB$16</c:f>
              <c:numCache>
                <c:formatCode>mmm\-yy</c:formatCode>
                <c:ptCount val="8"/>
                <c:pt idx="0">
                  <c:v>39022</c:v>
                </c:pt>
                <c:pt idx="1">
                  <c:v>39387</c:v>
                </c:pt>
                <c:pt idx="2">
                  <c:v>39753</c:v>
                </c:pt>
                <c:pt idx="3">
                  <c:v>40118</c:v>
                </c:pt>
                <c:pt idx="4">
                  <c:v>40483</c:v>
                </c:pt>
                <c:pt idx="5">
                  <c:v>40848</c:v>
                </c:pt>
                <c:pt idx="6">
                  <c:v>41214</c:v>
                </c:pt>
                <c:pt idx="7">
                  <c:v>41579</c:v>
                </c:pt>
              </c:numCache>
            </c:numRef>
          </c:xVal>
          <c:yVal>
            <c:numRef>
              <c:f>NamoiGunBog!$AE$9:$AE$16</c:f>
              <c:numCache>
                <c:formatCode>0</c:formatCode>
                <c:ptCount val="8"/>
                <c:pt idx="0">
                  <c:v>251.47119978332518</c:v>
                </c:pt>
                <c:pt idx="1">
                  <c:v>405.608</c:v>
                </c:pt>
                <c:pt idx="2">
                  <c:v>369.08000045967106</c:v>
                </c:pt>
                <c:pt idx="3">
                  <c:v>440.54560014343264</c:v>
                </c:pt>
                <c:pt idx="4">
                  <c:v>391.19360009765626</c:v>
                </c:pt>
                <c:pt idx="5">
                  <c:v>652.8792006912231</c:v>
                </c:pt>
                <c:pt idx="6">
                  <c:v>360.51039936065672</c:v>
                </c:pt>
                <c:pt idx="7">
                  <c:v>302.48720078277586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1960"/>
        <c:axId val="295611568"/>
      </c:scatterChart>
      <c:valAx>
        <c:axId val="295610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1176"/>
        <c:crosses val="autoZero"/>
        <c:crossBetween val="midCat"/>
      </c:valAx>
      <c:valAx>
        <c:axId val="295611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0784"/>
        <c:crosses val="autoZero"/>
        <c:crossBetween val="midCat"/>
      </c:valAx>
      <c:valAx>
        <c:axId val="295611568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1960"/>
        <c:crosses val="max"/>
        <c:crossBetween val="midCat"/>
      </c:valAx>
      <c:valAx>
        <c:axId val="2956119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9561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GW use v total Ha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NamoiGunBog!$BH$28</c:f>
              <c:strCache>
                <c:ptCount val="1"/>
                <c:pt idx="0">
                  <c:v>GW use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NamoiGunBog!$BG$29:$BG$36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xVal>
          <c:yVal>
            <c:numRef>
              <c:f>NamoiGunBog!$BH$29:$BH$36</c:f>
              <c:numCache>
                <c:formatCode>#,##0</c:formatCode>
                <c:ptCount val="8"/>
                <c:pt idx="0">
                  <c:v>77526.149999999994</c:v>
                </c:pt>
                <c:pt idx="1">
                  <c:v>43722.700000000004</c:v>
                </c:pt>
                <c:pt idx="2">
                  <c:v>38995.15</c:v>
                </c:pt>
                <c:pt idx="3">
                  <c:v>46153.2</c:v>
                </c:pt>
                <c:pt idx="4">
                  <c:v>29314.899999999998</c:v>
                </c:pt>
                <c:pt idx="5">
                  <c:v>25750.05</c:v>
                </c:pt>
                <c:pt idx="6">
                  <c:v>50625.24</c:v>
                </c:pt>
                <c:pt idx="7">
                  <c:v>69332.59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3136"/>
        <c:axId val="295613528"/>
      </c:scatterChart>
      <c:scatterChart>
        <c:scatterStyle val="lineMarker"/>
        <c:varyColors val="0"/>
        <c:ser>
          <c:idx val="1"/>
          <c:order val="1"/>
          <c:tx>
            <c:strRef>
              <c:f>NamoiGunBog!$BI$28</c:f>
              <c:strCache>
                <c:ptCount val="1"/>
                <c:pt idx="0">
                  <c:v>total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NamoiGunBog!$BG$29:$BG$36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xVal>
          <c:yVal>
            <c:numRef>
              <c:f>NamoiGunBog!$BI$29:$BI$36</c:f>
              <c:numCache>
                <c:formatCode>#,##0</c:formatCode>
                <c:ptCount val="8"/>
                <c:pt idx="0">
                  <c:v>6920.98</c:v>
                </c:pt>
                <c:pt idx="1">
                  <c:v>5879.3200000000006</c:v>
                </c:pt>
                <c:pt idx="2">
                  <c:v>5581.7599999999993</c:v>
                </c:pt>
                <c:pt idx="3">
                  <c:v>7147.7799999999988</c:v>
                </c:pt>
                <c:pt idx="4">
                  <c:v>11973.600000000002</c:v>
                </c:pt>
                <c:pt idx="5">
                  <c:v>12720.259999999998</c:v>
                </c:pt>
                <c:pt idx="6">
                  <c:v>9526.9300000000021</c:v>
                </c:pt>
                <c:pt idx="7">
                  <c:v>10080.580000000004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4312"/>
        <c:axId val="295613920"/>
      </c:scatterChart>
      <c:valAx>
        <c:axId val="29561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3528"/>
        <c:crosses val="autoZero"/>
        <c:crossBetween val="midCat"/>
      </c:valAx>
      <c:valAx>
        <c:axId val="29561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3136"/>
        <c:crosses val="autoZero"/>
        <c:crossBetween val="midCat"/>
      </c:valAx>
      <c:valAx>
        <c:axId val="295613920"/>
        <c:scaling>
          <c:orientation val="minMax"/>
          <c:max val="2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4312"/>
        <c:crosses val="max"/>
        <c:crossBetween val="midCat"/>
      </c:valAx>
      <c:valAx>
        <c:axId val="29561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5613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NamoiGunBog!$CB$37</c:f>
              <c:strCache>
                <c:ptCount val="1"/>
                <c:pt idx="0">
                  <c:v>actual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NamoiGunBog!$CA$38:$CA$48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 formatCode="0">
                  <c:v>2006</c:v>
                </c:pt>
                <c:pt idx="4" formatCode="0">
                  <c:v>2007</c:v>
                </c:pt>
                <c:pt idx="5" formatCode="0">
                  <c:v>2008</c:v>
                </c:pt>
                <c:pt idx="6" formatCode="0">
                  <c:v>2009</c:v>
                </c:pt>
                <c:pt idx="7" formatCode="0">
                  <c:v>2010</c:v>
                </c:pt>
                <c:pt idx="8" formatCode="0">
                  <c:v>2011</c:v>
                </c:pt>
                <c:pt idx="9" formatCode="0">
                  <c:v>2012</c:v>
                </c:pt>
                <c:pt idx="10" formatCode="0">
                  <c:v>2013</c:v>
                </c:pt>
              </c:numCache>
            </c:numRef>
          </c:xVal>
          <c:yVal>
            <c:numRef>
              <c:f>NamoiGunBog!$CB$38:$CB$48</c:f>
              <c:numCache>
                <c:formatCode>#,##0</c:formatCode>
                <c:ptCount val="11"/>
                <c:pt idx="0">
                  <c:v>6427.4000000000005</c:v>
                </c:pt>
                <c:pt idx="1">
                  <c:v>8929.4</c:v>
                </c:pt>
                <c:pt idx="2">
                  <c:v>10043.390000000001</c:v>
                </c:pt>
                <c:pt idx="3">
                  <c:v>6920.98</c:v>
                </c:pt>
                <c:pt idx="4">
                  <c:v>5879.3200000000006</c:v>
                </c:pt>
                <c:pt idx="5">
                  <c:v>5581.7599999999993</c:v>
                </c:pt>
                <c:pt idx="6">
                  <c:v>7147.7799999999988</c:v>
                </c:pt>
                <c:pt idx="7">
                  <c:v>11973.600000000002</c:v>
                </c:pt>
                <c:pt idx="8">
                  <c:v>12720.259999999998</c:v>
                </c:pt>
                <c:pt idx="9">
                  <c:v>9526.9300000000021</c:v>
                </c:pt>
                <c:pt idx="10">
                  <c:v>10080.580000000004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NamoiGunBog!$CC$37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NamoiGunBog!$CA$38:$CA$48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 formatCode="0">
                  <c:v>2006</c:v>
                </c:pt>
                <c:pt idx="4" formatCode="0">
                  <c:v>2007</c:v>
                </c:pt>
                <c:pt idx="5" formatCode="0">
                  <c:v>2008</c:v>
                </c:pt>
                <c:pt idx="6" formatCode="0">
                  <c:v>2009</c:v>
                </c:pt>
                <c:pt idx="7" formatCode="0">
                  <c:v>2010</c:v>
                </c:pt>
                <c:pt idx="8" formatCode="0">
                  <c:v>2011</c:v>
                </c:pt>
                <c:pt idx="9" formatCode="0">
                  <c:v>2012</c:v>
                </c:pt>
                <c:pt idx="10" formatCode="0">
                  <c:v>2013</c:v>
                </c:pt>
              </c:numCache>
            </c:numRef>
          </c:xVal>
          <c:yVal>
            <c:numRef>
              <c:f>NamoiGunBog!$CC$38:$CC$48</c:f>
              <c:numCache>
                <c:formatCode>#,##0</c:formatCode>
                <c:ptCount val="11"/>
                <c:pt idx="0">
                  <c:v>10297.5013502413</c:v>
                </c:pt>
                <c:pt idx="1">
                  <c:v>9817.4361463358637</c:v>
                </c:pt>
                <c:pt idx="2">
                  <c:v>7822.6067531814833</c:v>
                </c:pt>
                <c:pt idx="3">
                  <c:v>10718.374434940628</c:v>
                </c:pt>
                <c:pt idx="4">
                  <c:v>7244.9188163547633</c:v>
                </c:pt>
                <c:pt idx="5">
                  <c:v>6320.3937811577907</c:v>
                </c:pt>
                <c:pt idx="6">
                  <c:v>7937.6875713821082</c:v>
                </c:pt>
                <c:pt idx="7">
                  <c:v>4951.348944791861</c:v>
                </c:pt>
                <c:pt idx="8">
                  <c:v>5460.3081305146661</c:v>
                </c:pt>
                <c:pt idx="9">
                  <c:v>7980.7742191345415</c:v>
                </c:pt>
                <c:pt idx="10">
                  <c:v>9408.5303590144777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4704"/>
        <c:axId val="295615096"/>
      </c:scatterChart>
      <c:valAx>
        <c:axId val="29561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5096"/>
        <c:crosses val="autoZero"/>
        <c:crossBetween val="midCat"/>
      </c:valAx>
      <c:valAx>
        <c:axId val="29561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4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Boggabri</a:t>
            </a:r>
            <a:r>
              <a:rPr lang="en-AU" baseline="0"/>
              <a:t> area from 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NamoiGunBog!$AQ$1</c:f>
              <c:strCache>
                <c:ptCount val="1"/>
                <c:pt idx="0">
                  <c:v>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NamoiGunBog!$AP$2:$AP$16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NamoiGunBog!$AQ$2:$AQ$16</c:f>
              <c:numCache>
                <c:formatCode>#,##0</c:formatCode>
                <c:ptCount val="15"/>
                <c:pt idx="0">
                  <c:v>2985.6449283175371</c:v>
                </c:pt>
                <c:pt idx="1">
                  <c:v>2938.2862046927908</c:v>
                </c:pt>
                <c:pt idx="2">
                  <c:v>1972.9281253461595</c:v>
                </c:pt>
                <c:pt idx="3">
                  <c:v>151.82142329842236</c:v>
                </c:pt>
                <c:pt idx="4">
                  <c:v>386.06903037446568</c:v>
                </c:pt>
                <c:pt idx="5">
                  <c:v>754.7437632727549</c:v>
                </c:pt>
                <c:pt idx="6">
                  <c:v>875.83810599221624</c:v>
                </c:pt>
                <c:pt idx="7">
                  <c:v>0</c:v>
                </c:pt>
                <c:pt idx="8">
                  <c:v>0</c:v>
                </c:pt>
                <c:pt idx="9">
                  <c:v>407.40056568341902</c:v>
                </c:pt>
                <c:pt idx="10">
                  <c:v>1135.8653945263779</c:v>
                </c:pt>
                <c:pt idx="11">
                  <c:v>2567.7625978452415</c:v>
                </c:pt>
                <c:pt idx="12">
                  <c:v>1392.1470914808301</c:v>
                </c:pt>
                <c:pt idx="13">
                  <c:v>1742.963830685424</c:v>
                </c:pt>
                <c:pt idx="14">
                  <c:v>767.52504544868157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NamoiGunBog!$AR$1</c:f>
              <c:strCache>
                <c:ptCount val="1"/>
                <c:pt idx="0">
                  <c:v>est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NamoiGunBog!$AP$2:$AP$16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NamoiGunBog!$AR$2:$AR$16</c:f>
              <c:numCache>
                <c:formatCode>#,##0</c:formatCode>
                <c:ptCount val="15"/>
                <c:pt idx="0">
                  <c:v>1757.2631112239731</c:v>
                </c:pt>
                <c:pt idx="1">
                  <c:v>1451.3764032877252</c:v>
                </c:pt>
                <c:pt idx="2">
                  <c:v>1917.2741304553647</c:v>
                </c:pt>
                <c:pt idx="3">
                  <c:v>1176.2799962619408</c:v>
                </c:pt>
                <c:pt idx="4">
                  <c:v>638.53012673123021</c:v>
                </c:pt>
                <c:pt idx="5">
                  <c:v>1134.6691996043135</c:v>
                </c:pt>
                <c:pt idx="6">
                  <c:v>1103.2969277437751</c:v>
                </c:pt>
                <c:pt idx="7">
                  <c:v>27.284406877620178</c:v>
                </c:pt>
                <c:pt idx="8">
                  <c:v>921.4219462184933</c:v>
                </c:pt>
                <c:pt idx="9">
                  <c:v>612.20350567066271</c:v>
                </c:pt>
                <c:pt idx="10">
                  <c:v>712.84784058125479</c:v>
                </c:pt>
                <c:pt idx="11">
                  <c:v>1551.2323558391004</c:v>
                </c:pt>
                <c:pt idx="12">
                  <c:v>1365.6677619037252</c:v>
                </c:pt>
                <c:pt idx="13">
                  <c:v>2215.5825959141853</c:v>
                </c:pt>
                <c:pt idx="14">
                  <c:v>1937.6765898001022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615880"/>
        <c:axId val="296430688"/>
      </c:scatterChart>
      <c:valAx>
        <c:axId val="295615880"/>
        <c:scaling>
          <c:orientation val="minMax"/>
          <c:max val="2013"/>
          <c:min val="199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0688"/>
        <c:crosses val="autoZero"/>
        <c:crossBetween val="midCat"/>
        <c:majorUnit val="1"/>
      </c:valAx>
      <c:valAx>
        <c:axId val="29643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5615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NamoiBlNarr!$AS$2</c:f>
              <c:strCache>
                <c:ptCount val="1"/>
                <c:pt idx="0">
                  <c:v>Total Area (ha)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NamoiBlNarr!$AS$3:$AS$17</c:f>
              <c:numCache>
                <c:formatCode>#,##0</c:formatCode>
                <c:ptCount val="15"/>
                <c:pt idx="0">
                  <c:v>36667</c:v>
                </c:pt>
                <c:pt idx="1">
                  <c:v>37445</c:v>
                </c:pt>
                <c:pt idx="2">
                  <c:v>33333</c:v>
                </c:pt>
                <c:pt idx="3">
                  <c:v>22515</c:v>
                </c:pt>
                <c:pt idx="4">
                  <c:v>15497</c:v>
                </c:pt>
                <c:pt idx="5">
                  <c:v>28117</c:v>
                </c:pt>
                <c:pt idx="6">
                  <c:v>29481</c:v>
                </c:pt>
                <c:pt idx="7">
                  <c:v>17671</c:v>
                </c:pt>
                <c:pt idx="8">
                  <c:v>7868</c:v>
                </c:pt>
                <c:pt idx="9">
                  <c:v>9811</c:v>
                </c:pt>
                <c:pt idx="10">
                  <c:v>16141</c:v>
                </c:pt>
                <c:pt idx="11">
                  <c:v>33742</c:v>
                </c:pt>
                <c:pt idx="12">
                  <c:v>36615</c:v>
                </c:pt>
                <c:pt idx="13">
                  <c:v>38789</c:v>
                </c:pt>
                <c:pt idx="14">
                  <c:v>37891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31472"/>
        <c:axId val="296431864"/>
      </c:lineChart>
      <c:lineChart>
        <c:grouping val="standard"/>
        <c:varyColors val="0"/>
        <c:ser>
          <c:idx val="0"/>
          <c:order val="0"/>
          <c:tx>
            <c:strRef>
              <c:f>NamoiBlNarr!$AR$2</c:f>
              <c:strCache>
                <c:ptCount val="1"/>
                <c:pt idx="0">
                  <c:v>GW use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NamoiBlNarr!$AR$3:$AR$17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124108</c:v>
                </c:pt>
                <c:pt idx="8">
                  <c:v>102409</c:v>
                </c:pt>
                <c:pt idx="9">
                  <c:v>72824</c:v>
                </c:pt>
                <c:pt idx="10">
                  <c:v>82615</c:v>
                </c:pt>
                <c:pt idx="11">
                  <c:v>30495</c:v>
                </c:pt>
                <c:pt idx="12">
                  <c:v>32858</c:v>
                </c:pt>
                <c:pt idx="13">
                  <c:v>57792</c:v>
                </c:pt>
                <c:pt idx="14">
                  <c:v>100983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32648"/>
        <c:axId val="296432256"/>
      </c:lineChart>
      <c:catAx>
        <c:axId val="296431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1864"/>
        <c:crosses val="autoZero"/>
        <c:auto val="1"/>
        <c:lblAlgn val="ctr"/>
        <c:lblOffset val="100"/>
        <c:noMultiLvlLbl val="0"/>
      </c:catAx>
      <c:valAx>
        <c:axId val="29643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1472"/>
        <c:crosses val="autoZero"/>
        <c:crossBetween val="between"/>
      </c:valAx>
      <c:valAx>
        <c:axId val="29643225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2648"/>
        <c:crosses val="max"/>
        <c:crossBetween val="between"/>
      </c:valAx>
      <c:catAx>
        <c:axId val="296432648"/>
        <c:scaling>
          <c:orientation val="minMax"/>
        </c:scaling>
        <c:delete val="1"/>
        <c:axPos val="b"/>
        <c:majorTickMark val="out"/>
        <c:minorTickMark val="none"/>
        <c:tickLblPos val="nextTo"/>
        <c:crossAx val="29643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 Waa area based on surface water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NamoiBlNarr!$BD$2</c:f>
              <c:strCache>
                <c:ptCount val="1"/>
                <c:pt idx="0">
                  <c:v>SW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NamoiBlNarr!$BC$3:$BC$17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NamoiBlNarr!$BD$3:$BD$17</c:f>
              <c:numCache>
                <c:formatCode>#,##0</c:formatCode>
                <c:ptCount val="15"/>
                <c:pt idx="0">
                  <c:v>34667</c:v>
                </c:pt>
                <c:pt idx="1">
                  <c:v>35445</c:v>
                </c:pt>
                <c:pt idx="2">
                  <c:v>31333</c:v>
                </c:pt>
                <c:pt idx="3">
                  <c:v>16095</c:v>
                </c:pt>
                <c:pt idx="4">
                  <c:v>7307.4</c:v>
                </c:pt>
                <c:pt idx="5">
                  <c:v>23150.6</c:v>
                </c:pt>
                <c:pt idx="6">
                  <c:v>24135.4</c:v>
                </c:pt>
                <c:pt idx="7">
                  <c:v>9481.4</c:v>
                </c:pt>
                <c:pt idx="8">
                  <c:v>0</c:v>
                </c:pt>
                <c:pt idx="9">
                  <c:v>2885.3999999999996</c:v>
                </c:pt>
                <c:pt idx="10">
                  <c:v>9278.6</c:v>
                </c:pt>
                <c:pt idx="11">
                  <c:v>31742</c:v>
                </c:pt>
                <c:pt idx="12">
                  <c:v>34619</c:v>
                </c:pt>
                <c:pt idx="13">
                  <c:v>36789</c:v>
                </c:pt>
                <c:pt idx="14">
                  <c:v>34820.6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NamoiBlNarr!$BE$2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NamoiBlNarr!$BC$3:$BC$17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NamoiBlNarr!$BE$3:$BE$17</c:f>
              <c:numCache>
                <c:formatCode>#,##0</c:formatCode>
                <c:ptCount val="15"/>
                <c:pt idx="0">
                  <c:v>35543.627488552956</c:v>
                </c:pt>
                <c:pt idx="1">
                  <c:v>36113.996454994704</c:v>
                </c:pt>
                <c:pt idx="2">
                  <c:v>28447.779873803087</c:v>
                </c:pt>
                <c:pt idx="3">
                  <c:v>23980.309375162644</c:v>
                </c:pt>
                <c:pt idx="4">
                  <c:v>2549.0459971950759</c:v>
                </c:pt>
                <c:pt idx="5">
                  <c:v>7049.4920996569826</c:v>
                </c:pt>
                <c:pt idx="6">
                  <c:v>25902.729566439011</c:v>
                </c:pt>
                <c:pt idx="7">
                  <c:v>205.45162080037869</c:v>
                </c:pt>
                <c:pt idx="8">
                  <c:v>1876.8495805917789</c:v>
                </c:pt>
                <c:pt idx="9">
                  <c:v>7172.2278988026064</c:v>
                </c:pt>
                <c:pt idx="10">
                  <c:v>14352.061638232704</c:v>
                </c:pt>
                <c:pt idx="11">
                  <c:v>30510.79989231451</c:v>
                </c:pt>
                <c:pt idx="12">
                  <c:v>24942.180148338724</c:v>
                </c:pt>
                <c:pt idx="13">
                  <c:v>40094.812600354271</c:v>
                </c:pt>
                <c:pt idx="14">
                  <c:v>33591.878276775431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33432"/>
        <c:axId val="296433824"/>
      </c:scatterChart>
      <c:valAx>
        <c:axId val="296433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3824"/>
        <c:crosses val="autoZero"/>
        <c:crossBetween val="midCat"/>
      </c:valAx>
      <c:valAx>
        <c:axId val="2964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3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NamoiBlNarr!$BO$2</c:f>
              <c:strCache>
                <c:ptCount val="1"/>
                <c:pt idx="0">
                  <c:v>SW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NamoiBlNarr!$BN$3:$BN$17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NamoiBlNarr!$BO$3:$BO$17</c:f>
              <c:numCache>
                <c:formatCode>#,##0</c:formatCode>
                <c:ptCount val="15"/>
                <c:pt idx="0">
                  <c:v>34667</c:v>
                </c:pt>
                <c:pt idx="1">
                  <c:v>35445</c:v>
                </c:pt>
                <c:pt idx="2">
                  <c:v>31333</c:v>
                </c:pt>
                <c:pt idx="3">
                  <c:v>16095</c:v>
                </c:pt>
                <c:pt idx="4">
                  <c:v>7307.4</c:v>
                </c:pt>
                <c:pt idx="5">
                  <c:v>23150.6</c:v>
                </c:pt>
                <c:pt idx="6">
                  <c:v>24135.4</c:v>
                </c:pt>
                <c:pt idx="7">
                  <c:v>9481.4</c:v>
                </c:pt>
                <c:pt idx="8">
                  <c:v>0</c:v>
                </c:pt>
                <c:pt idx="9">
                  <c:v>2885.3999999999996</c:v>
                </c:pt>
                <c:pt idx="10">
                  <c:v>9278.6</c:v>
                </c:pt>
                <c:pt idx="11">
                  <c:v>31742</c:v>
                </c:pt>
                <c:pt idx="12">
                  <c:v>34619</c:v>
                </c:pt>
                <c:pt idx="13">
                  <c:v>36789</c:v>
                </c:pt>
                <c:pt idx="14">
                  <c:v>34820.6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NamoiBlNarr!$BP$2</c:f>
              <c:strCache>
                <c:ptCount val="1"/>
                <c:pt idx="0">
                  <c:v>est Ha (all water)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NamoiBlNarr!$BN$3:$BN$17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NamoiBlNarr!$BP$3:$BP$17</c:f>
              <c:numCache>
                <c:formatCode>#,##0</c:formatCode>
                <c:ptCount val="15"/>
                <c:pt idx="1">
                  <c:v>38257.048734817945</c:v>
                </c:pt>
                <c:pt idx="2">
                  <c:v>30190.020825499378</c:v>
                </c:pt>
                <c:pt idx="3">
                  <c:v>23452.785507278295</c:v>
                </c:pt>
                <c:pt idx="4">
                  <c:v>6618.5910132813833</c:v>
                </c:pt>
                <c:pt idx="5">
                  <c:v>6908.1710889988753</c:v>
                </c:pt>
                <c:pt idx="6">
                  <c:v>27493.20892959099</c:v>
                </c:pt>
                <c:pt idx="7">
                  <c:v>7915.0519394599187</c:v>
                </c:pt>
                <c:pt idx="8">
                  <c:v>4469.0999271344936</c:v>
                </c:pt>
                <c:pt idx="9">
                  <c:v>4954.5498873064153</c:v>
                </c:pt>
                <c:pt idx="10">
                  <c:v>9358.3895769972914</c:v>
                </c:pt>
                <c:pt idx="11">
                  <c:v>27926.976628358909</c:v>
                </c:pt>
                <c:pt idx="12">
                  <c:v>26115.903529382031</c:v>
                </c:pt>
                <c:pt idx="13">
                  <c:v>40189.721812975316</c:v>
                </c:pt>
                <c:pt idx="14">
                  <c:v>33388.155192574231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NamoiBlNarr!$BQ$2</c:f>
              <c:strCache>
                <c:ptCount val="1"/>
                <c:pt idx="0">
                  <c:v>est Ha (no FPH)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NamoiBlNarr!$BN$3:$BN$17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NamoiBlNarr!$BQ$3:$BQ$17</c:f>
              <c:numCache>
                <c:formatCode>#,##0</c:formatCode>
                <c:ptCount val="15"/>
                <c:pt idx="1">
                  <c:v>43620.324785451841</c:v>
                </c:pt>
                <c:pt idx="2">
                  <c:v>26853.488355601636</c:v>
                </c:pt>
                <c:pt idx="3">
                  <c:v>26457.568968605592</c:v>
                </c:pt>
                <c:pt idx="4">
                  <c:v>8414.208446472252</c:v>
                </c:pt>
                <c:pt idx="5">
                  <c:v>5333.6453638108869</c:v>
                </c:pt>
                <c:pt idx="6">
                  <c:v>25041.911853594371</c:v>
                </c:pt>
                <c:pt idx="7">
                  <c:v>10701.038325480598</c:v>
                </c:pt>
                <c:pt idx="8">
                  <c:v>5414.9909900572029</c:v>
                </c:pt>
                <c:pt idx="9">
                  <c:v>1545.3314074178456</c:v>
                </c:pt>
                <c:pt idx="10">
                  <c:v>7680.6482227433071</c:v>
                </c:pt>
                <c:pt idx="11">
                  <c:v>27678.258032379978</c:v>
                </c:pt>
                <c:pt idx="12">
                  <c:v>28818.168209788091</c:v>
                </c:pt>
                <c:pt idx="13">
                  <c:v>32070.846715286796</c:v>
                </c:pt>
                <c:pt idx="14">
                  <c:v>33490.673515538045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34608"/>
        <c:axId val="296435000"/>
      </c:scatterChart>
      <c:valAx>
        <c:axId val="29643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5000"/>
        <c:crosses val="autoZero"/>
        <c:crossBetween val="midCat"/>
      </c:valAx>
      <c:valAx>
        <c:axId val="29643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4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Wee Waa irrigated cotton area production from surface water (actual v estimate)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NamoiBlNarr!$BY$2</c:f>
              <c:strCache>
                <c:ptCount val="1"/>
                <c:pt idx="0">
                  <c:v>SW 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NamoiBlNarr!$BX$3:$BX$17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NamoiBlNarr!$BY$3:$BY$17</c:f>
              <c:numCache>
                <c:formatCode>#,##0</c:formatCode>
                <c:ptCount val="15"/>
                <c:pt idx="0">
                  <c:v>34667</c:v>
                </c:pt>
                <c:pt idx="1">
                  <c:v>35445</c:v>
                </c:pt>
                <c:pt idx="2">
                  <c:v>31333</c:v>
                </c:pt>
                <c:pt idx="3">
                  <c:v>16095</c:v>
                </c:pt>
                <c:pt idx="4">
                  <c:v>7307.4</c:v>
                </c:pt>
                <c:pt idx="5">
                  <c:v>23150.6</c:v>
                </c:pt>
                <c:pt idx="6">
                  <c:v>24135.4</c:v>
                </c:pt>
                <c:pt idx="7">
                  <c:v>9481.4</c:v>
                </c:pt>
                <c:pt idx="8">
                  <c:v>0</c:v>
                </c:pt>
                <c:pt idx="9">
                  <c:v>2885.3999999999996</c:v>
                </c:pt>
                <c:pt idx="10">
                  <c:v>9278.6</c:v>
                </c:pt>
                <c:pt idx="11">
                  <c:v>31742</c:v>
                </c:pt>
                <c:pt idx="12">
                  <c:v>34619</c:v>
                </c:pt>
                <c:pt idx="13">
                  <c:v>36789</c:v>
                </c:pt>
                <c:pt idx="14">
                  <c:v>34820.6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NamoiBlNarr!$BZ$2</c:f>
              <c:strCache>
                <c:ptCount val="1"/>
                <c:pt idx="0">
                  <c:v>estimate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NamoiBlNarr!$BX$3:$BX$17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cat>
          <c:val>
            <c:numRef>
              <c:f>NamoiBlNarr!$BZ$3:$BZ$17</c:f>
              <c:numCache>
                <c:formatCode>#,##0</c:formatCode>
                <c:ptCount val="15"/>
                <c:pt idx="0">
                  <c:v>36191.179534572395</c:v>
                </c:pt>
                <c:pt idx="1">
                  <c:v>36609.036467808161</c:v>
                </c:pt>
                <c:pt idx="2">
                  <c:v>27277.317370710334</c:v>
                </c:pt>
                <c:pt idx="3">
                  <c:v>23640.495646037656</c:v>
                </c:pt>
                <c:pt idx="4">
                  <c:v>2512.9246606240331</c:v>
                </c:pt>
                <c:pt idx="5">
                  <c:v>23150.599999999988</c:v>
                </c:pt>
                <c:pt idx="6">
                  <c:v>25367.495826161721</c:v>
                </c:pt>
                <c:pt idx="7">
                  <c:v>202.54026213828985</c:v>
                </c:pt>
                <c:pt idx="8">
                  <c:v>1868.1413675281135</c:v>
                </c:pt>
                <c:pt idx="9">
                  <c:v>6660.4994870993605</c:v>
                </c:pt>
                <c:pt idx="10">
                  <c:v>13935.969119896708</c:v>
                </c:pt>
                <c:pt idx="11">
                  <c:v>30739.722569066922</c:v>
                </c:pt>
                <c:pt idx="12">
                  <c:v>24724.622150479725</c:v>
                </c:pt>
                <c:pt idx="13">
                  <c:v>38432.523425502106</c:v>
                </c:pt>
                <c:pt idx="14">
                  <c:v>32870.06758248456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435784"/>
        <c:axId val="296436176"/>
      </c:lineChart>
      <c:catAx>
        <c:axId val="2964357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6176"/>
        <c:crosses val="autoZero"/>
        <c:auto val="1"/>
        <c:lblAlgn val="ctr"/>
        <c:lblOffset val="100"/>
        <c:noMultiLvlLbl val="0"/>
      </c:catAx>
      <c:valAx>
        <c:axId val="29643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NamoiBlNarr!$DK$2</c:f>
              <c:strCache>
                <c:ptCount val="1"/>
                <c:pt idx="0">
                  <c:v>Ha planted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NamoiBlNarr!$DJ$3:$DJ$17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NamoiBlNarr!$DK$3:$DK$17</c:f>
              <c:numCache>
                <c:formatCode>#,##0</c:formatCode>
                <c:ptCount val="15"/>
                <c:pt idx="0">
                  <c:v>13750</c:v>
                </c:pt>
                <c:pt idx="1">
                  <c:v>14041.75</c:v>
                </c:pt>
                <c:pt idx="2">
                  <c:v>12500</c:v>
                </c:pt>
                <c:pt idx="3">
                  <c:v>8008.22</c:v>
                </c:pt>
                <c:pt idx="4">
                  <c:v>5603.12</c:v>
                </c:pt>
                <c:pt idx="5">
                  <c:v>12081.37</c:v>
                </c:pt>
                <c:pt idx="6">
                  <c:v>12537</c:v>
                </c:pt>
                <c:pt idx="7">
                  <c:v>6549</c:v>
                </c:pt>
                <c:pt idx="8">
                  <c:v>3883</c:v>
                </c:pt>
                <c:pt idx="9">
                  <c:v>5978</c:v>
                </c:pt>
                <c:pt idx="10">
                  <c:v>6624</c:v>
                </c:pt>
                <c:pt idx="11">
                  <c:v>10612</c:v>
                </c:pt>
                <c:pt idx="12">
                  <c:v>14376.820000000003</c:v>
                </c:pt>
                <c:pt idx="13">
                  <c:v>14547.700000000003</c:v>
                </c:pt>
                <c:pt idx="14">
                  <c:v>9514.9699999999993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NamoiBlNarr!$DL$2</c:f>
              <c:strCache>
                <c:ptCount val="1"/>
                <c:pt idx="0">
                  <c:v>estimate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NamoiBlNarr!$DJ$3:$DJ$17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NamoiBlNarr!$DL$3:$DL$17</c:f>
              <c:numCache>
                <c:formatCode>#,##0</c:formatCode>
                <c:ptCount val="15"/>
                <c:pt idx="0">
                  <c:v>11492.989562594152</c:v>
                </c:pt>
                <c:pt idx="1">
                  <c:v>13240.975021176477</c:v>
                </c:pt>
                <c:pt idx="2">
                  <c:v>13653.870184794241</c:v>
                </c:pt>
                <c:pt idx="3">
                  <c:v>4694.5615301798462</c:v>
                </c:pt>
                <c:pt idx="4">
                  <c:v>6125.4460883777401</c:v>
                </c:pt>
                <c:pt idx="5">
                  <c:v>8629.0125623634667</c:v>
                </c:pt>
                <c:pt idx="6">
                  <c:v>14895.416034107995</c:v>
                </c:pt>
                <c:pt idx="7">
                  <c:v>1435.7496402463846</c:v>
                </c:pt>
                <c:pt idx="8">
                  <c:v>7013.2628330446605</c:v>
                </c:pt>
                <c:pt idx="9">
                  <c:v>5498.8143906317837</c:v>
                </c:pt>
                <c:pt idx="10">
                  <c:v>2983.252038783965</c:v>
                </c:pt>
                <c:pt idx="11">
                  <c:v>12297.877404569963</c:v>
                </c:pt>
                <c:pt idx="12">
                  <c:v>9475.8183386994551</c:v>
                </c:pt>
                <c:pt idx="13">
                  <c:v>13651.584719617826</c:v>
                </c:pt>
                <c:pt idx="14">
                  <c:v>14099.066451010485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36960"/>
        <c:axId val="296437352"/>
      </c:scatterChart>
      <c:valAx>
        <c:axId val="29643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7352"/>
        <c:crosses val="autoZero"/>
        <c:crossBetween val="midCat"/>
      </c:valAx>
      <c:valAx>
        <c:axId val="296437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NamoiBlNarr!$FZ$2</c:f>
              <c:strCache>
                <c:ptCount val="1"/>
                <c:pt idx="0">
                  <c:v>Area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NamoiBlNarr!$FY$3:$FY$17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NamoiBlNarr!$FZ$3:$FZ$17</c:f>
              <c:numCache>
                <c:formatCode>#,##0</c:formatCode>
                <c:ptCount val="15"/>
                <c:pt idx="0">
                  <c:v>4583.333333333333</c:v>
                </c:pt>
                <c:pt idx="1">
                  <c:v>4680.583333333333</c:v>
                </c:pt>
                <c:pt idx="2">
                  <c:v>4166.666666666667</c:v>
                </c:pt>
                <c:pt idx="3">
                  <c:v>715.05000000000007</c:v>
                </c:pt>
                <c:pt idx="4">
                  <c:v>92.6</c:v>
                </c:pt>
                <c:pt idx="5">
                  <c:v>2673.1</c:v>
                </c:pt>
                <c:pt idx="6">
                  <c:v>2736.2999999999997</c:v>
                </c:pt>
                <c:pt idx="7">
                  <c:v>557.65</c:v>
                </c:pt>
                <c:pt idx="8">
                  <c:v>0</c:v>
                </c:pt>
                <c:pt idx="9">
                  <c:v>281.92</c:v>
                </c:pt>
                <c:pt idx="10">
                  <c:v>1883.03</c:v>
                </c:pt>
                <c:pt idx="11">
                  <c:v>3683.23</c:v>
                </c:pt>
                <c:pt idx="12">
                  <c:v>3316.78</c:v>
                </c:pt>
                <c:pt idx="13">
                  <c:v>4725.9800000000005</c:v>
                </c:pt>
                <c:pt idx="14">
                  <c:v>3478.4399999999996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NamoiBlNarr!$GA$2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NamoiBlNarr!$FY$3:$FY$17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NamoiBlNarr!$GA$3:$GA$17</c:f>
              <c:numCache>
                <c:formatCode>#,##0</c:formatCode>
                <c:ptCount val="15"/>
                <c:pt idx="0">
                  <c:v>3283.7610488924497</c:v>
                </c:pt>
                <c:pt idx="1">
                  <c:v>2223.9656704092699</c:v>
                </c:pt>
                <c:pt idx="2">
                  <c:v>4464.9778840260497</c:v>
                </c:pt>
                <c:pt idx="3">
                  <c:v>1617.2587611637007</c:v>
                </c:pt>
                <c:pt idx="4">
                  <c:v>528.13157547197409</c:v>
                </c:pt>
                <c:pt idx="5">
                  <c:v>3509.4487592179726</c:v>
                </c:pt>
                <c:pt idx="6">
                  <c:v>4289.6052263557149</c:v>
                </c:pt>
                <c:pt idx="7">
                  <c:v>70.799574660787812</c:v>
                </c:pt>
                <c:pt idx="8">
                  <c:v>951.44422633889906</c:v>
                </c:pt>
                <c:pt idx="9">
                  <c:v>1496.5569407897942</c:v>
                </c:pt>
                <c:pt idx="10">
                  <c:v>2377.8063307857701</c:v>
                </c:pt>
                <c:pt idx="11">
                  <c:v>3163.6892949872645</c:v>
                </c:pt>
                <c:pt idx="12">
                  <c:v>2368.1521112166965</c:v>
                </c:pt>
                <c:pt idx="13">
                  <c:v>4606.6546926676128</c:v>
                </c:pt>
                <c:pt idx="14">
                  <c:v>2582.6398986963013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38136"/>
        <c:axId val="297184368"/>
      </c:scatterChart>
      <c:valAx>
        <c:axId val="29643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4368"/>
        <c:crosses val="autoZero"/>
        <c:crossBetween val="midCat"/>
      </c:valAx>
      <c:valAx>
        <c:axId val="29718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438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NamoiBlNarr!$HA$2</c:f>
              <c:strCache>
                <c:ptCount val="1"/>
                <c:pt idx="0">
                  <c:v>Area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NamoiBlNarr!$GZ$3:$GZ$17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NamoiBlNarr!$HA$3:$HA$17</c:f>
              <c:numCache>
                <c:formatCode>#,##0</c:formatCode>
                <c:ptCount val="15"/>
                <c:pt idx="0">
                  <c:v>4583.333333333333</c:v>
                </c:pt>
                <c:pt idx="1">
                  <c:v>4680.583333333333</c:v>
                </c:pt>
                <c:pt idx="2">
                  <c:v>4166.666666666667</c:v>
                </c:pt>
                <c:pt idx="3">
                  <c:v>715.05000000000007</c:v>
                </c:pt>
                <c:pt idx="4">
                  <c:v>92.6</c:v>
                </c:pt>
                <c:pt idx="5">
                  <c:v>2673.1</c:v>
                </c:pt>
                <c:pt idx="6">
                  <c:v>2736.2999999999997</c:v>
                </c:pt>
                <c:pt idx="7">
                  <c:v>557.65</c:v>
                </c:pt>
                <c:pt idx="8">
                  <c:v>0</c:v>
                </c:pt>
                <c:pt idx="9">
                  <c:v>281.92</c:v>
                </c:pt>
                <c:pt idx="10">
                  <c:v>1883.03</c:v>
                </c:pt>
                <c:pt idx="11">
                  <c:v>3683.23</c:v>
                </c:pt>
                <c:pt idx="12">
                  <c:v>3316.78</c:v>
                </c:pt>
                <c:pt idx="13">
                  <c:v>4725.9800000000005</c:v>
                </c:pt>
                <c:pt idx="14">
                  <c:v>3478.4399999999996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NamoiBlNarr!$HC$2</c:f>
              <c:strCache>
                <c:ptCount val="1"/>
                <c:pt idx="0">
                  <c:v>Ha est*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NamoiBlNarr!$GZ$3:$GZ$17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NamoiBlNarr!$HC$3:$HC$17</c:f>
              <c:numCache>
                <c:formatCode>#,##0</c:formatCode>
                <c:ptCount val="15"/>
                <c:pt idx="0">
                  <c:v>3534.5703843497031</c:v>
                </c:pt>
                <c:pt idx="1">
                  <c:v>4598.214045104045</c:v>
                </c:pt>
                <c:pt idx="2">
                  <c:v>5044.4436268351055</c:v>
                </c:pt>
                <c:pt idx="3">
                  <c:v>791.40374647411147</c:v>
                </c:pt>
                <c:pt idx="4">
                  <c:v>482.42372235029393</c:v>
                </c:pt>
                <c:pt idx="5">
                  <c:v>2757.1319825146725</c:v>
                </c:pt>
                <c:pt idx="6">
                  <c:v>3543.0185962249807</c:v>
                </c:pt>
                <c:pt idx="7">
                  <c:v>-348.03819797945141</c:v>
                </c:pt>
                <c:pt idx="8">
                  <c:v>-67.622544936610637</c:v>
                </c:pt>
                <c:pt idx="9">
                  <c:v>1603.4076735260082</c:v>
                </c:pt>
                <c:pt idx="10">
                  <c:v>1398.6121101600891</c:v>
                </c:pt>
                <c:pt idx="11">
                  <c:v>2833.1680921807101</c:v>
                </c:pt>
                <c:pt idx="12">
                  <c:v>3671.4723084461157</c:v>
                </c:pt>
                <c:pt idx="13">
                  <c:v>3819.4162481828948</c:v>
                </c:pt>
                <c:pt idx="14">
                  <c:v>3206.1169797831708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85152"/>
        <c:axId val="297185544"/>
      </c:scatterChart>
      <c:valAx>
        <c:axId val="29718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5544"/>
        <c:crosses val="autoZero"/>
        <c:crossBetween val="midCat"/>
      </c:valAx>
      <c:valAx>
        <c:axId val="29718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5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Narrabri SW area estimate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NamoiBlNarr!$DX$2</c:f>
              <c:strCache>
                <c:ptCount val="1"/>
                <c:pt idx="0">
                  <c:v>SW area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NamoiBlNarr!$DW$3:$DW$17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NamoiBlNarr!$DX$3:$DX$17</c:f>
              <c:numCache>
                <c:formatCode>#,##0</c:formatCode>
                <c:ptCount val="15"/>
                <c:pt idx="0">
                  <c:v>12750</c:v>
                </c:pt>
                <c:pt idx="1">
                  <c:v>13041.75</c:v>
                </c:pt>
                <c:pt idx="2">
                  <c:v>11500</c:v>
                </c:pt>
                <c:pt idx="3">
                  <c:v>5297.693684210526</c:v>
                </c:pt>
                <c:pt idx="4">
                  <c:v>2155.7515789473682</c:v>
                </c:pt>
                <c:pt idx="5">
                  <c:v>9976.1068421052641</c:v>
                </c:pt>
                <c:pt idx="6">
                  <c:v>10273.842105263158</c:v>
                </c:pt>
                <c:pt idx="7">
                  <c:v>3101.6315789473683</c:v>
                </c:pt>
                <c:pt idx="8">
                  <c:v>514.57894736842081</c:v>
                </c:pt>
                <c:pt idx="9">
                  <c:v>3056.9473684210525</c:v>
                </c:pt>
                <c:pt idx="10">
                  <c:v>3729.2631578947367</c:v>
                </c:pt>
                <c:pt idx="11">
                  <c:v>9612</c:v>
                </c:pt>
                <c:pt idx="12">
                  <c:v>13376.820000000003</c:v>
                </c:pt>
                <c:pt idx="13">
                  <c:v>13547.700000000003</c:v>
                </c:pt>
                <c:pt idx="14">
                  <c:v>8199.1805263157876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NamoiBlNarr!$DY$2</c:f>
              <c:strCache>
                <c:ptCount val="1"/>
                <c:pt idx="0">
                  <c:v>SW area est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NamoiBlNarr!$DW$3:$DW$17</c:f>
              <c:numCache>
                <c:formatCode>0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NamoiBlNarr!$DY$3:$DY$17</c:f>
              <c:numCache>
                <c:formatCode>#,##0</c:formatCode>
                <c:ptCount val="15"/>
                <c:pt idx="0">
                  <c:v>10066.586582445974</c:v>
                </c:pt>
                <c:pt idx="1">
                  <c:v>11124.254743019164</c:v>
                </c:pt>
                <c:pt idx="2">
                  <c:v>11760.178226866821</c:v>
                </c:pt>
                <c:pt idx="3">
                  <c:v>4278.3995580158353</c:v>
                </c:pt>
                <c:pt idx="4">
                  <c:v>4868.4819802419097</c:v>
                </c:pt>
                <c:pt idx="5">
                  <c:v>7312.4890739759521</c:v>
                </c:pt>
                <c:pt idx="6">
                  <c:v>12542.452769369282</c:v>
                </c:pt>
                <c:pt idx="7">
                  <c:v>1284.0317412318898</c:v>
                </c:pt>
                <c:pt idx="8">
                  <c:v>5952.0702729559171</c:v>
                </c:pt>
                <c:pt idx="9">
                  <c:v>4466.9885504911163</c:v>
                </c:pt>
                <c:pt idx="10">
                  <c:v>2562.5187896236939</c:v>
                </c:pt>
                <c:pt idx="11">
                  <c:v>9984.7064737764649</c:v>
                </c:pt>
                <c:pt idx="12">
                  <c:v>7965.2951148117327</c:v>
                </c:pt>
                <c:pt idx="13">
                  <c:v>11761.413977721419</c:v>
                </c:pt>
                <c:pt idx="14">
                  <c:v>12544.777575396232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86328"/>
        <c:axId val="297186720"/>
      </c:scatterChart>
      <c:valAx>
        <c:axId val="297186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6720"/>
        <c:crosses val="autoZero"/>
        <c:crossBetween val="midCat"/>
      </c:valAx>
      <c:valAx>
        <c:axId val="29718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6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Mungindi 1999-2008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Mungindi!$AO$1</c:f>
              <c:strCache>
                <c:ptCount val="1"/>
                <c:pt idx="0">
                  <c:v>Ha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Mungindi!$AN$2:$AN$11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cat>
          <c:val>
            <c:numRef>
              <c:f>Mungindi!$AO$2:$AO$11</c:f>
              <c:numCache>
                <c:formatCode>#,##0</c:formatCode>
                <c:ptCount val="10"/>
                <c:pt idx="0">
                  <c:v>21600</c:v>
                </c:pt>
                <c:pt idx="1">
                  <c:v>23093.200000000001</c:v>
                </c:pt>
                <c:pt idx="2">
                  <c:v>23600</c:v>
                </c:pt>
                <c:pt idx="3">
                  <c:v>10454.049999999999</c:v>
                </c:pt>
                <c:pt idx="4">
                  <c:v>5661.1</c:v>
                </c:pt>
                <c:pt idx="5">
                  <c:v>23865.4</c:v>
                </c:pt>
                <c:pt idx="6">
                  <c:v>21084.579999999994</c:v>
                </c:pt>
                <c:pt idx="7">
                  <c:v>10576.24</c:v>
                </c:pt>
                <c:pt idx="8">
                  <c:v>562.69999999999993</c:v>
                </c:pt>
                <c:pt idx="9">
                  <c:v>9199.3499999999967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Mungindi!$AP$1</c:f>
              <c:strCache>
                <c:ptCount val="1"/>
                <c:pt idx="0">
                  <c:v>Ha est 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Mungindi!$AN$2:$AN$11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cat>
          <c:val>
            <c:numRef>
              <c:f>Mungindi!$AP$2:$AP$11</c:f>
              <c:numCache>
                <c:formatCode>#,##0</c:formatCode>
                <c:ptCount val="10"/>
                <c:pt idx="0">
                  <c:v>15967.617778925138</c:v>
                </c:pt>
                <c:pt idx="1">
                  <c:v>18225.947089423247</c:v>
                </c:pt>
                <c:pt idx="2">
                  <c:v>31334.024898080872</c:v>
                </c:pt>
                <c:pt idx="3">
                  <c:v>17836.267969559616</c:v>
                </c:pt>
                <c:pt idx="4">
                  <c:v>6448.0540410832855</c:v>
                </c:pt>
                <c:pt idx="5">
                  <c:v>16781.827875831645</c:v>
                </c:pt>
                <c:pt idx="6">
                  <c:v>12189.172217041174</c:v>
                </c:pt>
                <c:pt idx="7">
                  <c:v>9403.0953985871965</c:v>
                </c:pt>
                <c:pt idx="8">
                  <c:v>6296.320961647446</c:v>
                </c:pt>
                <c:pt idx="9">
                  <c:v>9390.5809784972371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Mungindi!$AQ$1</c:f>
              <c:strCache>
                <c:ptCount val="1"/>
                <c:pt idx="0">
                  <c:v>Ha est 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Mungindi!$AN$2:$AN$11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cat>
          <c:val>
            <c:numRef>
              <c:f>Mungindi!$AQ$2:$AQ$11</c:f>
              <c:numCache>
                <c:formatCode>#,##0</c:formatCode>
                <c:ptCount val="10"/>
                <c:pt idx="0">
                  <c:v>18227.327654069253</c:v>
                </c:pt>
                <c:pt idx="1">
                  <c:v>21187.807465687441</c:v>
                </c:pt>
                <c:pt idx="2">
                  <c:v>30253.675328197765</c:v>
                </c:pt>
                <c:pt idx="3">
                  <c:v>15862.640740555091</c:v>
                </c:pt>
                <c:pt idx="4">
                  <c:v>3176.1481085974451</c:v>
                </c:pt>
                <c:pt idx="5">
                  <c:v>19480.648181675268</c:v>
                </c:pt>
                <c:pt idx="6">
                  <c:v>8744.8370883924108</c:v>
                </c:pt>
                <c:pt idx="7">
                  <c:v>10008.45756970509</c:v>
                </c:pt>
                <c:pt idx="8">
                  <c:v>4202.0280180848986</c:v>
                </c:pt>
                <c:pt idx="9">
                  <c:v>9845.6002343425353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Mungindi!$AR$1</c:f>
              <c:strCache>
                <c:ptCount val="1"/>
                <c:pt idx="0">
                  <c:v>Ha est 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Mungindi!$AN$2:$AN$11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cat>
          <c:val>
            <c:numRef>
              <c:f>Mungindi!$AR$2:$AR$11</c:f>
              <c:numCache>
                <c:formatCode>#,##0</c:formatCode>
                <c:ptCount val="10"/>
                <c:pt idx="0">
                  <c:v>22516.024061937387</c:v>
                </c:pt>
                <c:pt idx="1">
                  <c:v>22022.936834017368</c:v>
                </c:pt>
                <c:pt idx="2">
                  <c:v>30761.991010049875</c:v>
                </c:pt>
                <c:pt idx="3">
                  <c:v>12510.274807314428</c:v>
                </c:pt>
                <c:pt idx="4">
                  <c:v>4029.935895624209</c:v>
                </c:pt>
                <c:pt idx="5">
                  <c:v>16433.038172454271</c:v>
                </c:pt>
                <c:pt idx="6">
                  <c:v>11530.954747904145</c:v>
                </c:pt>
                <c:pt idx="7">
                  <c:v>7462.6032744848981</c:v>
                </c:pt>
                <c:pt idx="8">
                  <c:v>2481.4156532279958</c:v>
                </c:pt>
                <c:pt idx="9">
                  <c:v>10550.135935319173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7187504"/>
        <c:axId val="297187896"/>
      </c:lineChart>
      <c:dateAx>
        <c:axId val="2971875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7896"/>
        <c:crosses val="autoZero"/>
        <c:auto val="1"/>
        <c:lblOffset val="100"/>
        <c:baseTimeUnit val="years"/>
      </c:dateAx>
      <c:valAx>
        <c:axId val="297187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Mungindi!$CZ$1</c:f>
              <c:strCache>
                <c:ptCount val="1"/>
                <c:pt idx="0">
                  <c:v>Ha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Mungindi!$CY$2:$CY$11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Mungindi!$CZ$2:$CZ$11</c:f>
              <c:numCache>
                <c:formatCode>#,##0</c:formatCode>
                <c:ptCount val="10"/>
                <c:pt idx="0">
                  <c:v>21600</c:v>
                </c:pt>
                <c:pt idx="1">
                  <c:v>23093.200000000001</c:v>
                </c:pt>
                <c:pt idx="2">
                  <c:v>23600</c:v>
                </c:pt>
                <c:pt idx="3">
                  <c:v>10454.049999999999</c:v>
                </c:pt>
                <c:pt idx="4">
                  <c:v>5661.1</c:v>
                </c:pt>
                <c:pt idx="5">
                  <c:v>23865.4</c:v>
                </c:pt>
                <c:pt idx="6">
                  <c:v>21084.579999999994</c:v>
                </c:pt>
                <c:pt idx="7">
                  <c:v>10576.24</c:v>
                </c:pt>
                <c:pt idx="8">
                  <c:v>562.69999999999993</c:v>
                </c:pt>
                <c:pt idx="9">
                  <c:v>9199.3499999999967</c:v>
                </c:pt>
              </c:numCache>
            </c:numRef>
          </c:yVal>
          <c:smooth val="0"/>
        </c:ser>
        <c:ser>
          <c:idx val="4"/>
          <c:order val="1"/>
          <c:tx>
            <c:strRef>
              <c:f>Mungindi!$DD$1</c:f>
              <c:strCache>
                <c:ptCount val="1"/>
                <c:pt idx="0">
                  <c:v>est 4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Mungindi!$CY$2:$CY$11</c:f>
              <c:numCache>
                <c:formatCode>mmm\-yy</c:formatCode>
                <c:ptCount val="10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</c:numCache>
            </c:numRef>
          </c:xVal>
          <c:yVal>
            <c:numRef>
              <c:f>Mungindi!$DD$2:$DD$11</c:f>
              <c:numCache>
                <c:formatCode>#,##0</c:formatCode>
                <c:ptCount val="10"/>
                <c:pt idx="0">
                  <c:v>22715.410090573689</c:v>
                </c:pt>
                <c:pt idx="1">
                  <c:v>22546.210593586024</c:v>
                </c:pt>
                <c:pt idx="2">
                  <c:v>22294.490996686232</c:v>
                </c:pt>
                <c:pt idx="3">
                  <c:v>12557.49152050709</c:v>
                </c:pt>
                <c:pt idx="4">
                  <c:v>4398.4657370115528</c:v>
                </c:pt>
                <c:pt idx="5">
                  <c:v>23273.361373021406</c:v>
                </c:pt>
                <c:pt idx="6">
                  <c:v>21084.579999999991</c:v>
                </c:pt>
                <c:pt idx="7">
                  <c:v>9473.006118917403</c:v>
                </c:pt>
                <c:pt idx="8">
                  <c:v>3.6967192947540752</c:v>
                </c:pt>
                <c:pt idx="9">
                  <c:v>10973.814215005323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88680"/>
        <c:axId val="297189072"/>
      </c:scatterChart>
      <c:valAx>
        <c:axId val="29718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9072"/>
        <c:crosses val="autoZero"/>
        <c:crossBetween val="midCat"/>
      </c:valAx>
      <c:valAx>
        <c:axId val="29718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8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Mungindi!$CZ$1</c:f>
              <c:strCache>
                <c:ptCount val="1"/>
                <c:pt idx="0">
                  <c:v>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Mungindi!$CY$2:$CY$16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Mungindi!$CZ$2:$CZ$16</c:f>
              <c:numCache>
                <c:formatCode>#,##0</c:formatCode>
                <c:ptCount val="15"/>
                <c:pt idx="0">
                  <c:v>21600</c:v>
                </c:pt>
                <c:pt idx="1">
                  <c:v>23093.200000000001</c:v>
                </c:pt>
                <c:pt idx="2">
                  <c:v>23600</c:v>
                </c:pt>
                <c:pt idx="3">
                  <c:v>10454.049999999999</c:v>
                </c:pt>
                <c:pt idx="4">
                  <c:v>5661.1</c:v>
                </c:pt>
                <c:pt idx="5">
                  <c:v>23865.4</c:v>
                </c:pt>
                <c:pt idx="6">
                  <c:v>21084.579999999994</c:v>
                </c:pt>
                <c:pt idx="7">
                  <c:v>10576.24</c:v>
                </c:pt>
                <c:pt idx="8">
                  <c:v>562.69999999999993</c:v>
                </c:pt>
                <c:pt idx="9">
                  <c:v>9199.3499999999967</c:v>
                </c:pt>
                <c:pt idx="10">
                  <c:v>11309.199999999999</c:v>
                </c:pt>
                <c:pt idx="11">
                  <c:v>21268.19</c:v>
                </c:pt>
                <c:pt idx="12">
                  <c:v>23442.26</c:v>
                </c:pt>
                <c:pt idx="13">
                  <c:v>24645.68</c:v>
                </c:pt>
                <c:pt idx="14">
                  <c:v>23277.229999999996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Mungindi!$DE$1</c:f>
              <c:strCache>
                <c:ptCount val="1"/>
                <c:pt idx="0">
                  <c:v>est5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Mungindi!$CY$2:$CY$16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Mungindi!$DE$2:$DE$16</c:f>
              <c:numCache>
                <c:formatCode>#,##0</c:formatCode>
                <c:ptCount val="15"/>
                <c:pt idx="0">
                  <c:v>20683.656785983119</c:v>
                </c:pt>
                <c:pt idx="1">
                  <c:v>18161.949627650076</c:v>
                </c:pt>
                <c:pt idx="2">
                  <c:v>20341.914516640605</c:v>
                </c:pt>
                <c:pt idx="3">
                  <c:v>10899.174099584168</c:v>
                </c:pt>
                <c:pt idx="4">
                  <c:v>4485.9668045845165</c:v>
                </c:pt>
                <c:pt idx="5">
                  <c:v>23014.134846226822</c:v>
                </c:pt>
                <c:pt idx="6">
                  <c:v>21084.579999999991</c:v>
                </c:pt>
                <c:pt idx="7">
                  <c:v>8109.4629214276465</c:v>
                </c:pt>
                <c:pt idx="8">
                  <c:v>-127.918270586777</c:v>
                </c:pt>
                <c:pt idx="9">
                  <c:v>10515.248101408491</c:v>
                </c:pt>
                <c:pt idx="10">
                  <c:v>9190.0545174587896</c:v>
                </c:pt>
                <c:pt idx="11">
                  <c:v>20739.188033284539</c:v>
                </c:pt>
                <c:pt idx="12">
                  <c:v>25554.493477073374</c:v>
                </c:pt>
                <c:pt idx="13">
                  <c:v>27565.174579700655</c:v>
                </c:pt>
                <c:pt idx="14">
                  <c:v>26881.001897406484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89856"/>
        <c:axId val="297190248"/>
      </c:scatterChart>
      <c:valAx>
        <c:axId val="297189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90248"/>
        <c:crosses val="autoZero"/>
        <c:crossBetween val="midCat"/>
      </c:valAx>
      <c:valAx>
        <c:axId val="29719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89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Mungindi!$EK$1</c:f>
              <c:strCache>
                <c:ptCount val="1"/>
                <c:pt idx="0">
                  <c:v>actual Ha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Mungindi!$EJ$2:$EJ$16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Mungindi!$EK$2:$EK$16</c:f>
              <c:numCache>
                <c:formatCode>#,##0</c:formatCode>
                <c:ptCount val="15"/>
                <c:pt idx="0">
                  <c:v>21600</c:v>
                </c:pt>
                <c:pt idx="1">
                  <c:v>23093.200000000001</c:v>
                </c:pt>
                <c:pt idx="2">
                  <c:v>23600</c:v>
                </c:pt>
                <c:pt idx="3">
                  <c:v>10454.049999999999</c:v>
                </c:pt>
                <c:pt idx="4">
                  <c:v>5661.1</c:v>
                </c:pt>
                <c:pt idx="5">
                  <c:v>23865.4</c:v>
                </c:pt>
                <c:pt idx="6">
                  <c:v>21084.579999999994</c:v>
                </c:pt>
                <c:pt idx="7">
                  <c:v>10576.24</c:v>
                </c:pt>
                <c:pt idx="8">
                  <c:v>562.69999999999993</c:v>
                </c:pt>
                <c:pt idx="9">
                  <c:v>9199.3499999999967</c:v>
                </c:pt>
                <c:pt idx="10">
                  <c:v>11309.199999999999</c:v>
                </c:pt>
                <c:pt idx="11">
                  <c:v>21268.19</c:v>
                </c:pt>
                <c:pt idx="12">
                  <c:v>23442.26</c:v>
                </c:pt>
                <c:pt idx="13">
                  <c:v>24645.68</c:v>
                </c:pt>
                <c:pt idx="14">
                  <c:v>23277.229999999996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Mungindi!$EL$1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Mungindi!$EJ$2:$EJ$16</c:f>
              <c:numCache>
                <c:formatCode>mmm\-yy</c:formatCode>
                <c:ptCount val="15"/>
                <c:pt idx="0">
                  <c:v>36465</c:v>
                </c:pt>
                <c:pt idx="1">
                  <c:v>36831</c:v>
                </c:pt>
                <c:pt idx="2">
                  <c:v>37196</c:v>
                </c:pt>
                <c:pt idx="3">
                  <c:v>37561</c:v>
                </c:pt>
                <c:pt idx="4">
                  <c:v>37926</c:v>
                </c:pt>
                <c:pt idx="5">
                  <c:v>38292</c:v>
                </c:pt>
                <c:pt idx="6">
                  <c:v>38657</c:v>
                </c:pt>
                <c:pt idx="7">
                  <c:v>39022</c:v>
                </c:pt>
                <c:pt idx="8">
                  <c:v>39387</c:v>
                </c:pt>
                <c:pt idx="9">
                  <c:v>39753</c:v>
                </c:pt>
                <c:pt idx="10">
                  <c:v>40118</c:v>
                </c:pt>
                <c:pt idx="11">
                  <c:v>40483</c:v>
                </c:pt>
                <c:pt idx="12">
                  <c:v>40848</c:v>
                </c:pt>
                <c:pt idx="13">
                  <c:v>41214</c:v>
                </c:pt>
                <c:pt idx="14">
                  <c:v>41579</c:v>
                </c:pt>
              </c:numCache>
            </c:numRef>
          </c:xVal>
          <c:yVal>
            <c:numRef>
              <c:f>Mungindi!$EL$2:$EL$16</c:f>
              <c:numCache>
                <c:formatCode>#,##0</c:formatCode>
                <c:ptCount val="15"/>
                <c:pt idx="0">
                  <c:v>18406.147148679651</c:v>
                </c:pt>
                <c:pt idx="1">
                  <c:v>24733.279511644032</c:v>
                </c:pt>
                <c:pt idx="2">
                  <c:v>19185.561407087953</c:v>
                </c:pt>
                <c:pt idx="3">
                  <c:v>12263.366940508355</c:v>
                </c:pt>
                <c:pt idx="4">
                  <c:v>6531.1934636173355</c:v>
                </c:pt>
                <c:pt idx="5">
                  <c:v>24445.078659881568</c:v>
                </c:pt>
                <c:pt idx="6">
                  <c:v>19444.500488355952</c:v>
                </c:pt>
                <c:pt idx="7">
                  <c:v>8181.5880185208471</c:v>
                </c:pt>
                <c:pt idx="8">
                  <c:v>1133.9846668377404</c:v>
                </c:pt>
                <c:pt idx="9">
                  <c:v>10709.821390815669</c:v>
                </c:pt>
                <c:pt idx="10">
                  <c:v>10609.245851121421</c:v>
                </c:pt>
                <c:pt idx="11">
                  <c:v>22895.443825187638</c:v>
                </c:pt>
                <c:pt idx="12">
                  <c:v>21876.331601877886</c:v>
                </c:pt>
                <c:pt idx="13">
                  <c:v>25860.833025992433</c:v>
                </c:pt>
                <c:pt idx="14">
                  <c:v>25921.140271098331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191032"/>
        <c:axId val="297191424"/>
      </c:scatterChart>
      <c:valAx>
        <c:axId val="297191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91424"/>
        <c:crosses val="autoZero"/>
        <c:crossBetween val="midCat"/>
      </c:valAx>
      <c:valAx>
        <c:axId val="2971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71910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Bourke!$AN$3</c:f>
              <c:strCache>
                <c:ptCount val="1"/>
                <c:pt idx="0">
                  <c:v>area (ha)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Bourke!$AM$4:$AM$18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Bourke!$AN$4:$AN$18</c:f>
              <c:numCache>
                <c:formatCode>#,##0</c:formatCode>
                <c:ptCount val="15"/>
                <c:pt idx="0">
                  <c:v>12500</c:v>
                </c:pt>
                <c:pt idx="1">
                  <c:v>15307</c:v>
                </c:pt>
                <c:pt idx="2">
                  <c:v>12000</c:v>
                </c:pt>
                <c:pt idx="3">
                  <c:v>0</c:v>
                </c:pt>
                <c:pt idx="4">
                  <c:v>662.9</c:v>
                </c:pt>
                <c:pt idx="5">
                  <c:v>11104.199999999999</c:v>
                </c:pt>
                <c:pt idx="6">
                  <c:v>9446.9999999999982</c:v>
                </c:pt>
                <c:pt idx="7">
                  <c:v>13.400000000000002</c:v>
                </c:pt>
                <c:pt idx="8">
                  <c:v>125.01</c:v>
                </c:pt>
                <c:pt idx="9">
                  <c:v>1579.9300000000003</c:v>
                </c:pt>
                <c:pt idx="10">
                  <c:v>5828.84</c:v>
                </c:pt>
                <c:pt idx="11">
                  <c:v>9615.1399999999976</c:v>
                </c:pt>
                <c:pt idx="12">
                  <c:v>9398.9699999999993</c:v>
                </c:pt>
                <c:pt idx="13">
                  <c:v>8291.3700000000008</c:v>
                </c:pt>
                <c:pt idx="14">
                  <c:v>6479.89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Bourke!$AO$3</c:f>
              <c:strCache>
                <c:ptCount val="1"/>
                <c:pt idx="0">
                  <c:v>est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Bourke!$AM$4:$AM$18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Bourke!$AO$4:$AO$18</c:f>
              <c:numCache>
                <c:formatCode>#,##0</c:formatCode>
                <c:ptCount val="15"/>
                <c:pt idx="0">
                  <c:v>10235.815777167638</c:v>
                </c:pt>
                <c:pt idx="1">
                  <c:v>9255.7044507007413</c:v>
                </c:pt>
                <c:pt idx="2">
                  <c:v>9171.6677749819592</c:v>
                </c:pt>
                <c:pt idx="3">
                  <c:v>5222.8656831557564</c:v>
                </c:pt>
                <c:pt idx="4">
                  <c:v>2191.3125795523429</c:v>
                </c:pt>
                <c:pt idx="5">
                  <c:v>6210.8835818619355</c:v>
                </c:pt>
                <c:pt idx="6">
                  <c:v>8815.4899468297717</c:v>
                </c:pt>
                <c:pt idx="7">
                  <c:v>4111.701009064368</c:v>
                </c:pt>
                <c:pt idx="8">
                  <c:v>211.01939700793099</c:v>
                </c:pt>
                <c:pt idx="9">
                  <c:v>4747.5433265222555</c:v>
                </c:pt>
                <c:pt idx="10">
                  <c:v>7694.5030835176367</c:v>
                </c:pt>
                <c:pt idx="11">
                  <c:v>11198.12977802485</c:v>
                </c:pt>
                <c:pt idx="12">
                  <c:v>10919.120903243635</c:v>
                </c:pt>
                <c:pt idx="13">
                  <c:v>9582.1655702990502</c:v>
                </c:pt>
                <c:pt idx="14">
                  <c:v>8531.1786072428622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34744"/>
        <c:axId val="298035136"/>
      </c:scatterChart>
      <c:valAx>
        <c:axId val="298034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5136"/>
        <c:crosses val="autoZero"/>
        <c:crossBetween val="midCat"/>
      </c:valAx>
      <c:valAx>
        <c:axId val="2980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4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Bourke!$AN$3</c:f>
              <c:strCache>
                <c:ptCount val="1"/>
                <c:pt idx="0">
                  <c:v>area (ha)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Bourke!$AM$4:$AM$18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Bourke!$AN$4:$AN$18</c:f>
              <c:numCache>
                <c:formatCode>#,##0</c:formatCode>
                <c:ptCount val="15"/>
                <c:pt idx="0">
                  <c:v>12500</c:v>
                </c:pt>
                <c:pt idx="1">
                  <c:v>15307</c:v>
                </c:pt>
                <c:pt idx="2">
                  <c:v>12000</c:v>
                </c:pt>
                <c:pt idx="3">
                  <c:v>0</c:v>
                </c:pt>
                <c:pt idx="4">
                  <c:v>662.9</c:v>
                </c:pt>
                <c:pt idx="5">
                  <c:v>11104.199999999999</c:v>
                </c:pt>
                <c:pt idx="6">
                  <c:v>9446.9999999999982</c:v>
                </c:pt>
                <c:pt idx="7">
                  <c:v>13.400000000000002</c:v>
                </c:pt>
                <c:pt idx="8">
                  <c:v>125.01</c:v>
                </c:pt>
                <c:pt idx="9">
                  <c:v>1579.9300000000003</c:v>
                </c:pt>
                <c:pt idx="10">
                  <c:v>5828.84</c:v>
                </c:pt>
                <c:pt idx="11">
                  <c:v>9615.1399999999976</c:v>
                </c:pt>
                <c:pt idx="12">
                  <c:v>9398.9699999999993</c:v>
                </c:pt>
                <c:pt idx="13">
                  <c:v>8291.3700000000008</c:v>
                </c:pt>
                <c:pt idx="14">
                  <c:v>6479.89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Bourke!$AO$3</c:f>
              <c:strCache>
                <c:ptCount val="1"/>
                <c:pt idx="0">
                  <c:v>est 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Bourke!$AM$4:$AM$18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Bourke!$AO$4:$AO$18</c:f>
              <c:numCache>
                <c:formatCode>#,##0</c:formatCode>
                <c:ptCount val="15"/>
                <c:pt idx="0">
                  <c:v>10235.815777167638</c:v>
                </c:pt>
                <c:pt idx="1">
                  <c:v>9255.7044507007413</c:v>
                </c:pt>
                <c:pt idx="2">
                  <c:v>9171.6677749819592</c:v>
                </c:pt>
                <c:pt idx="3">
                  <c:v>5222.8656831557564</c:v>
                </c:pt>
                <c:pt idx="4">
                  <c:v>2191.3125795523429</c:v>
                </c:pt>
                <c:pt idx="5">
                  <c:v>6210.8835818619355</c:v>
                </c:pt>
                <c:pt idx="6">
                  <c:v>8815.4899468297717</c:v>
                </c:pt>
                <c:pt idx="7">
                  <c:v>4111.701009064368</c:v>
                </c:pt>
                <c:pt idx="8">
                  <c:v>211.01939700793099</c:v>
                </c:pt>
                <c:pt idx="9">
                  <c:v>4747.5433265222555</c:v>
                </c:pt>
                <c:pt idx="10">
                  <c:v>7694.5030835176367</c:v>
                </c:pt>
                <c:pt idx="11">
                  <c:v>11198.12977802485</c:v>
                </c:pt>
                <c:pt idx="12">
                  <c:v>10919.120903243635</c:v>
                </c:pt>
                <c:pt idx="13">
                  <c:v>9582.1655702990502</c:v>
                </c:pt>
                <c:pt idx="14">
                  <c:v>8531.1786072428622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Bourke!$AP$3</c:f>
              <c:strCache>
                <c:ptCount val="1"/>
                <c:pt idx="0">
                  <c:v>est 2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Bourke!$AM$4:$AM$18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Bourke!$AP$4:$AP$18</c:f>
              <c:numCache>
                <c:formatCode>#,##0</c:formatCode>
                <c:ptCount val="15"/>
                <c:pt idx="0">
                  <c:v>10439.492101891312</c:v>
                </c:pt>
                <c:pt idx="1">
                  <c:v>9437.4571569885193</c:v>
                </c:pt>
                <c:pt idx="2">
                  <c:v>9345.3802928375044</c:v>
                </c:pt>
                <c:pt idx="3">
                  <c:v>5314.6035500911366</c:v>
                </c:pt>
                <c:pt idx="4">
                  <c:v>2240.8181345987941</c:v>
                </c:pt>
                <c:pt idx="5">
                  <c:v>6349.7478128079611</c:v>
                </c:pt>
                <c:pt idx="6">
                  <c:v>8990.3514229064604</c:v>
                </c:pt>
                <c:pt idx="7">
                  <c:v>4183.9216448092466</c:v>
                </c:pt>
                <c:pt idx="8">
                  <c:v>215.75737258822849</c:v>
                </c:pt>
                <c:pt idx="9">
                  <c:v>4854.5250523533541</c:v>
                </c:pt>
                <c:pt idx="10">
                  <c:v>7864.878413003009</c:v>
                </c:pt>
                <c:pt idx="11">
                  <c:v>11438.36159513806</c:v>
                </c:pt>
                <c:pt idx="12">
                  <c:v>11144.765084710963</c:v>
                </c:pt>
                <c:pt idx="13">
                  <c:v>9778.0785851788605</c:v>
                </c:pt>
                <c:pt idx="14">
                  <c:v>8705.7714065862638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Bourke!$AQ$3</c:f>
              <c:strCache>
                <c:ptCount val="1"/>
                <c:pt idx="0">
                  <c:v>est 3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Bourke!$AM$4:$AM$18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Bourke!$AQ$4:$AQ$18</c:f>
              <c:numCache>
                <c:formatCode>#,##0</c:formatCode>
                <c:ptCount val="15"/>
                <c:pt idx="0">
                  <c:v>12099.847976666402</c:v>
                </c:pt>
                <c:pt idx="1">
                  <c:v>10627.353347008977</c:v>
                </c:pt>
                <c:pt idx="2">
                  <c:v>9702.3575834998574</c:v>
                </c:pt>
                <c:pt idx="3">
                  <c:v>4593.6332386684944</c:v>
                </c:pt>
                <c:pt idx="4">
                  <c:v>3355.5990601390645</c:v>
                </c:pt>
                <c:pt idx="5">
                  <c:v>9322.7894084149339</c:v>
                </c:pt>
                <c:pt idx="6">
                  <c:v>10349.214423703605</c:v>
                </c:pt>
                <c:pt idx="7">
                  <c:v>3616.3377671417716</c:v>
                </c:pt>
                <c:pt idx="8">
                  <c:v>319.33665464063517</c:v>
                </c:pt>
                <c:pt idx="9">
                  <c:v>7234.5406379365659</c:v>
                </c:pt>
                <c:pt idx="10">
                  <c:v>11334.535173261174</c:v>
                </c:pt>
                <c:pt idx="11">
                  <c:v>15494.346464416778</c:v>
                </c:pt>
                <c:pt idx="12">
                  <c:v>13992.971563843566</c:v>
                </c:pt>
                <c:pt idx="13">
                  <c:v>12006.990743201914</c:v>
                </c:pt>
                <c:pt idx="14">
                  <c:v>10711.805687318521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35920"/>
        <c:axId val="298036312"/>
      </c:scatterChart>
      <c:valAx>
        <c:axId val="29803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6312"/>
        <c:crosses val="autoZero"/>
        <c:crossBetween val="midCat"/>
      </c:valAx>
      <c:valAx>
        <c:axId val="29803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59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Bourke!$BE$3</c:f>
              <c:strCache>
                <c:ptCount val="1"/>
                <c:pt idx="0">
                  <c:v>area (ha)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Bourke!$BD$4:$BD$18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Bourke!$BE$4:$BE$18</c:f>
              <c:numCache>
                <c:formatCode>#,##0</c:formatCode>
                <c:ptCount val="15"/>
                <c:pt idx="0">
                  <c:v>12500</c:v>
                </c:pt>
                <c:pt idx="1">
                  <c:v>15307</c:v>
                </c:pt>
                <c:pt idx="2">
                  <c:v>12000</c:v>
                </c:pt>
                <c:pt idx="3">
                  <c:v>0</c:v>
                </c:pt>
                <c:pt idx="4">
                  <c:v>662.9</c:v>
                </c:pt>
                <c:pt idx="5">
                  <c:v>11104.199999999999</c:v>
                </c:pt>
                <c:pt idx="6">
                  <c:v>9446.9999999999982</c:v>
                </c:pt>
                <c:pt idx="7">
                  <c:v>13.400000000000002</c:v>
                </c:pt>
                <c:pt idx="8">
                  <c:v>125.01</c:v>
                </c:pt>
                <c:pt idx="9">
                  <c:v>1579.9300000000003</c:v>
                </c:pt>
                <c:pt idx="10">
                  <c:v>5828.84</c:v>
                </c:pt>
                <c:pt idx="11">
                  <c:v>9615.1399999999976</c:v>
                </c:pt>
                <c:pt idx="12">
                  <c:v>9398.9699999999993</c:v>
                </c:pt>
                <c:pt idx="13">
                  <c:v>8291.3700000000008</c:v>
                </c:pt>
                <c:pt idx="14">
                  <c:v>6479.89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Bourke!$BF$3</c:f>
              <c:strCache>
                <c:ptCount val="1"/>
                <c:pt idx="0">
                  <c:v>est ha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Bourke!$BD$4:$BD$18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Bourke!$BF$4:$BF$18</c:f>
              <c:numCache>
                <c:formatCode>#,##0</c:formatCode>
                <c:ptCount val="15"/>
                <c:pt idx="0">
                  <c:v>11981.176918254667</c:v>
                </c:pt>
                <c:pt idx="1">
                  <c:v>12538.315040389005</c:v>
                </c:pt>
                <c:pt idx="2">
                  <c:v>9065.0620150077848</c:v>
                </c:pt>
                <c:pt idx="3">
                  <c:v>2400.5055168317522</c:v>
                </c:pt>
                <c:pt idx="4">
                  <c:v>2039.0013559806625</c:v>
                </c:pt>
                <c:pt idx="5">
                  <c:v>5346.7805543799268</c:v>
                </c:pt>
                <c:pt idx="6">
                  <c:v>10763.469424820094</c:v>
                </c:pt>
                <c:pt idx="7">
                  <c:v>2845.8860983551494</c:v>
                </c:pt>
                <c:pt idx="8">
                  <c:v>-660.75763726333309</c:v>
                </c:pt>
                <c:pt idx="9">
                  <c:v>2505.426049719691</c:v>
                </c:pt>
                <c:pt idx="10">
                  <c:v>6986.9824128157397</c:v>
                </c:pt>
                <c:pt idx="11">
                  <c:v>14059.791784687626</c:v>
                </c:pt>
                <c:pt idx="12">
                  <c:v>9572.7763663953738</c:v>
                </c:pt>
                <c:pt idx="13">
                  <c:v>7247.7697097680702</c:v>
                </c:pt>
                <c:pt idx="14">
                  <c:v>6299.1240939144673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37096"/>
        <c:axId val="298037488"/>
      </c:scatterChart>
      <c:valAx>
        <c:axId val="298037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7488"/>
        <c:crosses val="autoZero"/>
        <c:crossBetween val="midCat"/>
      </c:valAx>
      <c:valAx>
        <c:axId val="2980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7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Bourke area estimate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Bourke!$BE$3</c:f>
              <c:strCache>
                <c:ptCount val="1"/>
                <c:pt idx="0">
                  <c:v>area (ha)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Bourke!$BD$4:$BD$18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Bourke!$BE$4:$BE$18</c:f>
              <c:numCache>
                <c:formatCode>#,##0</c:formatCode>
                <c:ptCount val="15"/>
                <c:pt idx="0">
                  <c:v>12500</c:v>
                </c:pt>
                <c:pt idx="1">
                  <c:v>15307</c:v>
                </c:pt>
                <c:pt idx="2">
                  <c:v>12000</c:v>
                </c:pt>
                <c:pt idx="3">
                  <c:v>0</c:v>
                </c:pt>
                <c:pt idx="4">
                  <c:v>662.9</c:v>
                </c:pt>
                <c:pt idx="5">
                  <c:v>11104.199999999999</c:v>
                </c:pt>
                <c:pt idx="6">
                  <c:v>9446.9999999999982</c:v>
                </c:pt>
                <c:pt idx="7">
                  <c:v>13.400000000000002</c:v>
                </c:pt>
                <c:pt idx="8">
                  <c:v>125.01</c:v>
                </c:pt>
                <c:pt idx="9">
                  <c:v>1579.9300000000003</c:v>
                </c:pt>
                <c:pt idx="10">
                  <c:v>5828.84</c:v>
                </c:pt>
                <c:pt idx="11">
                  <c:v>9615.1399999999976</c:v>
                </c:pt>
                <c:pt idx="12">
                  <c:v>9398.9699999999993</c:v>
                </c:pt>
                <c:pt idx="13">
                  <c:v>8291.3700000000008</c:v>
                </c:pt>
                <c:pt idx="14">
                  <c:v>6479.89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Bourke!$BH$3</c:f>
              <c:strCache>
                <c:ptCount val="1"/>
                <c:pt idx="0">
                  <c:v>est**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Bourke!$BD$4:$BD$18</c:f>
              <c:numCache>
                <c:formatCode>General</c:formatCode>
                <c:ptCount val="1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</c:numCache>
            </c:numRef>
          </c:xVal>
          <c:yVal>
            <c:numRef>
              <c:f>Bourke!$BH$4:$BH$18</c:f>
              <c:numCache>
                <c:formatCode>#,##0</c:formatCode>
                <c:ptCount val="15"/>
                <c:pt idx="0">
                  <c:v>12585.080271008448</c:v>
                </c:pt>
                <c:pt idx="1">
                  <c:v>12948.066927800452</c:v>
                </c:pt>
                <c:pt idx="2">
                  <c:v>12100.566012030289</c:v>
                </c:pt>
                <c:pt idx="3">
                  <c:v>423.12550275530066</c:v>
                </c:pt>
                <c:pt idx="4">
                  <c:v>1120.0899881523351</c:v>
                </c:pt>
                <c:pt idx="5">
                  <c:v>11104.199999999997</c:v>
                </c:pt>
                <c:pt idx="6">
                  <c:v>11231.249615363238</c:v>
                </c:pt>
                <c:pt idx="7">
                  <c:v>-409.7255027552992</c:v>
                </c:pt>
                <c:pt idx="8">
                  <c:v>-416.98835269673174</c:v>
                </c:pt>
                <c:pt idx="9">
                  <c:v>1299.8315118597134</c:v>
                </c:pt>
                <c:pt idx="10">
                  <c:v>4557.1804025277743</c:v>
                </c:pt>
                <c:pt idx="11">
                  <c:v>10676.600341737838</c:v>
                </c:pt>
                <c:pt idx="12">
                  <c:v>9666.9182142185527</c:v>
                </c:pt>
                <c:pt idx="13">
                  <c:v>8213.7394725225804</c:v>
                </c:pt>
                <c:pt idx="14">
                  <c:v>7182.1172743606003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38272"/>
        <c:axId val="298038664"/>
      </c:scatterChart>
      <c:valAx>
        <c:axId val="298038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8664"/>
        <c:crosses val="autoZero"/>
        <c:crossBetween val="midCat"/>
      </c:valAx>
      <c:valAx>
        <c:axId val="29803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8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cotprice!$C$2</c:f>
              <c:strCache>
                <c:ptCount val="1"/>
                <c:pt idx="0">
                  <c:v>000 Ha planted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cotprice!$B$3:$B$17</c:f>
              <c:numCache>
                <c:formatCode>General</c:formatCode>
                <c:ptCount val="15"/>
                <c:pt idx="0">
                  <c:v>251.5</c:v>
                </c:pt>
                <c:pt idx="1">
                  <c:v>193.8</c:v>
                </c:pt>
                <c:pt idx="2">
                  <c:v>225.5</c:v>
                </c:pt>
                <c:pt idx="3">
                  <c:v>225.9</c:v>
                </c:pt>
                <c:pt idx="4">
                  <c:v>167.3</c:v>
                </c:pt>
                <c:pt idx="5">
                  <c:v>177.8</c:v>
                </c:pt>
                <c:pt idx="6">
                  <c:v>176.9</c:v>
                </c:pt>
                <c:pt idx="7">
                  <c:v>190.8</c:v>
                </c:pt>
                <c:pt idx="8">
                  <c:v>193.3</c:v>
                </c:pt>
                <c:pt idx="9">
                  <c:v>205.1</c:v>
                </c:pt>
                <c:pt idx="10">
                  <c:v>377.4</c:v>
                </c:pt>
                <c:pt idx="11">
                  <c:v>225.1</c:v>
                </c:pt>
                <c:pt idx="12">
                  <c:v>199.5</c:v>
                </c:pt>
                <c:pt idx="13">
                  <c:v>228.6</c:v>
                </c:pt>
                <c:pt idx="14">
                  <c:v>199.5</c:v>
                </c:pt>
              </c:numCache>
            </c:numRef>
          </c:xVal>
          <c:yVal>
            <c:numRef>
              <c:f>cotprice!$C$3:$C$17</c:f>
              <c:numCache>
                <c:formatCode>General</c:formatCode>
                <c:ptCount val="15"/>
                <c:pt idx="0">
                  <c:v>405</c:v>
                </c:pt>
                <c:pt idx="1">
                  <c:v>394</c:v>
                </c:pt>
                <c:pt idx="2">
                  <c:v>218</c:v>
                </c:pt>
                <c:pt idx="3">
                  <c:v>174</c:v>
                </c:pt>
                <c:pt idx="4">
                  <c:v>258</c:v>
                </c:pt>
                <c:pt idx="5">
                  <c:v>247</c:v>
                </c:pt>
                <c:pt idx="6">
                  <c:v>126</c:v>
                </c:pt>
                <c:pt idx="7">
                  <c:v>53</c:v>
                </c:pt>
                <c:pt idx="8">
                  <c:v>128</c:v>
                </c:pt>
                <c:pt idx="9">
                  <c:v>138</c:v>
                </c:pt>
                <c:pt idx="10">
                  <c:v>332</c:v>
                </c:pt>
                <c:pt idx="11">
                  <c:v>366</c:v>
                </c:pt>
                <c:pt idx="12">
                  <c:v>347</c:v>
                </c:pt>
                <c:pt idx="13">
                  <c:v>321</c:v>
                </c:pt>
                <c:pt idx="14">
                  <c:v>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8039448"/>
        <c:axId val="298039840"/>
      </c:scatterChart>
      <c:valAx>
        <c:axId val="298039448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cents/kg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9840"/>
        <c:crosses val="autoZero"/>
        <c:crossBetween val="midCat"/>
      </c:valAx>
      <c:valAx>
        <c:axId val="2980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000 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039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61</xdr:row>
      <xdr:rowOff>119062</xdr:rowOff>
    </xdr:from>
    <xdr:to>
      <xdr:col>11</xdr:col>
      <xdr:colOff>581025</xdr:colOff>
      <xdr:row>76</xdr:row>
      <xdr:rowOff>4762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695325</xdr:colOff>
      <xdr:row>60</xdr:row>
      <xdr:rowOff>66675</xdr:rowOff>
    </xdr:from>
    <xdr:to>
      <xdr:col>28</xdr:col>
      <xdr:colOff>447675</xdr:colOff>
      <xdr:row>74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257174</xdr:colOff>
      <xdr:row>2</xdr:row>
      <xdr:rowOff>4761</xdr:rowOff>
    </xdr:from>
    <xdr:to>
      <xdr:col>63</xdr:col>
      <xdr:colOff>285749</xdr:colOff>
      <xdr:row>24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295274</xdr:colOff>
      <xdr:row>27</xdr:row>
      <xdr:rowOff>128586</xdr:rowOff>
    </xdr:from>
    <xdr:to>
      <xdr:col>72</xdr:col>
      <xdr:colOff>247649</xdr:colOff>
      <xdr:row>44</xdr:row>
      <xdr:rowOff>133349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247649</xdr:colOff>
      <xdr:row>50</xdr:row>
      <xdr:rowOff>90486</xdr:rowOff>
    </xdr:from>
    <xdr:to>
      <xdr:col>64</xdr:col>
      <xdr:colOff>257174</xdr:colOff>
      <xdr:row>71</xdr:row>
      <xdr:rowOff>171449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695325</xdr:colOff>
      <xdr:row>81</xdr:row>
      <xdr:rowOff>4762</xdr:rowOff>
    </xdr:from>
    <xdr:to>
      <xdr:col>18</xdr:col>
      <xdr:colOff>323850</xdr:colOff>
      <xdr:row>95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419100</xdr:colOff>
      <xdr:row>95</xdr:row>
      <xdr:rowOff>80961</xdr:rowOff>
    </xdr:from>
    <xdr:to>
      <xdr:col>28</xdr:col>
      <xdr:colOff>409575</xdr:colOff>
      <xdr:row>116</xdr:row>
      <xdr:rowOff>28574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113</xdr:col>
      <xdr:colOff>47625</xdr:colOff>
      <xdr:row>22</xdr:row>
      <xdr:rowOff>138112</xdr:rowOff>
    </xdr:from>
    <xdr:to>
      <xdr:col>119</xdr:col>
      <xdr:colOff>571500</xdr:colOff>
      <xdr:row>35</xdr:row>
      <xdr:rowOff>23812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123</xdr:col>
      <xdr:colOff>314325</xdr:colOff>
      <xdr:row>22</xdr:row>
      <xdr:rowOff>61911</xdr:rowOff>
    </xdr:from>
    <xdr:to>
      <xdr:col>134</xdr:col>
      <xdr:colOff>19050</xdr:colOff>
      <xdr:row>36</xdr:row>
      <xdr:rowOff>161924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114</xdr:col>
      <xdr:colOff>190499</xdr:colOff>
      <xdr:row>45</xdr:row>
      <xdr:rowOff>14286</xdr:rowOff>
    </xdr:from>
    <xdr:to>
      <xdr:col>126</xdr:col>
      <xdr:colOff>180974</xdr:colOff>
      <xdr:row>65</xdr:row>
      <xdr:rowOff>152399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143</xdr:col>
      <xdr:colOff>190500</xdr:colOff>
      <xdr:row>0</xdr:row>
      <xdr:rowOff>119062</xdr:rowOff>
    </xdr:from>
    <xdr:to>
      <xdr:col>157</xdr:col>
      <xdr:colOff>190500</xdr:colOff>
      <xdr:row>21</xdr:row>
      <xdr:rowOff>133350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114</xdr:col>
      <xdr:colOff>190500</xdr:colOff>
      <xdr:row>66</xdr:row>
      <xdr:rowOff>109537</xdr:rowOff>
    </xdr:from>
    <xdr:to>
      <xdr:col>125</xdr:col>
      <xdr:colOff>476250</xdr:colOff>
      <xdr:row>83</xdr:row>
      <xdr:rowOff>95250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85725</xdr:colOff>
      <xdr:row>128</xdr:row>
      <xdr:rowOff>33337</xdr:rowOff>
    </xdr:from>
    <xdr:to>
      <xdr:col>29</xdr:col>
      <xdr:colOff>85725</xdr:colOff>
      <xdr:row>146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133350</xdr:colOff>
      <xdr:row>41</xdr:row>
      <xdr:rowOff>14287</xdr:rowOff>
    </xdr:from>
    <xdr:to>
      <xdr:col>64</xdr:col>
      <xdr:colOff>438150</xdr:colOff>
      <xdr:row>55</xdr:row>
      <xdr:rowOff>90487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72</xdr:col>
      <xdr:colOff>142875</xdr:colOff>
      <xdr:row>40</xdr:row>
      <xdr:rowOff>90487</xdr:rowOff>
    </xdr:from>
    <xdr:to>
      <xdr:col>79</xdr:col>
      <xdr:colOff>123825</xdr:colOff>
      <xdr:row>54</xdr:row>
      <xdr:rowOff>166687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72</xdr:col>
      <xdr:colOff>161925</xdr:colOff>
      <xdr:row>55</xdr:row>
      <xdr:rowOff>52387</xdr:rowOff>
    </xdr:from>
    <xdr:to>
      <xdr:col>79</xdr:col>
      <xdr:colOff>142875</xdr:colOff>
      <xdr:row>69</xdr:row>
      <xdr:rowOff>128587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90</xdr:col>
      <xdr:colOff>161925</xdr:colOff>
      <xdr:row>111</xdr:row>
      <xdr:rowOff>138112</xdr:rowOff>
    </xdr:from>
    <xdr:to>
      <xdr:col>97</xdr:col>
      <xdr:colOff>466725</xdr:colOff>
      <xdr:row>126</xdr:row>
      <xdr:rowOff>23812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590550</xdr:colOff>
      <xdr:row>41</xdr:row>
      <xdr:rowOff>4762</xdr:rowOff>
    </xdr:from>
    <xdr:to>
      <xdr:col>45</xdr:col>
      <xdr:colOff>895350</xdr:colOff>
      <xdr:row>55</xdr:row>
      <xdr:rowOff>80962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409575</xdr:colOff>
      <xdr:row>111</xdr:row>
      <xdr:rowOff>157162</xdr:rowOff>
    </xdr:from>
    <xdr:to>
      <xdr:col>81</xdr:col>
      <xdr:colOff>390525</xdr:colOff>
      <xdr:row>126</xdr:row>
      <xdr:rowOff>42862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685800</xdr:colOff>
      <xdr:row>160</xdr:row>
      <xdr:rowOff>166687</xdr:rowOff>
    </xdr:from>
    <xdr:to>
      <xdr:col>52</xdr:col>
      <xdr:colOff>657225</xdr:colOff>
      <xdr:row>175</xdr:row>
      <xdr:rowOff>52387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174</xdr:row>
      <xdr:rowOff>80962</xdr:rowOff>
    </xdr:from>
    <xdr:to>
      <xdr:col>44</xdr:col>
      <xdr:colOff>304800</xdr:colOff>
      <xdr:row>188</xdr:row>
      <xdr:rowOff>157162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85724</xdr:colOff>
      <xdr:row>0</xdr:row>
      <xdr:rowOff>23812</xdr:rowOff>
    </xdr:from>
    <xdr:to>
      <xdr:col>71</xdr:col>
      <xdr:colOff>533399</xdr:colOff>
      <xdr:row>14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83</xdr:col>
      <xdr:colOff>161925</xdr:colOff>
      <xdr:row>0</xdr:row>
      <xdr:rowOff>61912</xdr:rowOff>
    </xdr:from>
    <xdr:to>
      <xdr:col>90</xdr:col>
      <xdr:colOff>276225</xdr:colOff>
      <xdr:row>14</xdr:row>
      <xdr:rowOff>138112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103</xdr:col>
      <xdr:colOff>114299</xdr:colOff>
      <xdr:row>0</xdr:row>
      <xdr:rowOff>61912</xdr:rowOff>
    </xdr:from>
    <xdr:to>
      <xdr:col>112</xdr:col>
      <xdr:colOff>380999</xdr:colOff>
      <xdr:row>14</xdr:row>
      <xdr:rowOff>138112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112</xdr:col>
      <xdr:colOff>514350</xdr:colOff>
      <xdr:row>0</xdr:row>
      <xdr:rowOff>80962</xdr:rowOff>
    </xdr:from>
    <xdr:to>
      <xdr:col>125</xdr:col>
      <xdr:colOff>38100</xdr:colOff>
      <xdr:row>14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139</xdr:col>
      <xdr:colOff>228600</xdr:colOff>
      <xdr:row>0</xdr:row>
      <xdr:rowOff>80962</xdr:rowOff>
    </xdr:from>
    <xdr:to>
      <xdr:col>146</xdr:col>
      <xdr:colOff>85725</xdr:colOff>
      <xdr:row>16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257174</xdr:colOff>
      <xdr:row>21</xdr:row>
      <xdr:rowOff>14286</xdr:rowOff>
    </xdr:from>
    <xdr:to>
      <xdr:col>25</xdr:col>
      <xdr:colOff>552449</xdr:colOff>
      <xdr:row>43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44</xdr:row>
      <xdr:rowOff>28575</xdr:rowOff>
    </xdr:from>
    <xdr:to>
      <xdr:col>23</xdr:col>
      <xdr:colOff>190500</xdr:colOff>
      <xdr:row>65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171450</xdr:colOff>
      <xdr:row>0</xdr:row>
      <xdr:rowOff>433387</xdr:rowOff>
    </xdr:from>
    <xdr:to>
      <xdr:col>69</xdr:col>
      <xdr:colOff>266700</xdr:colOff>
      <xdr:row>16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514350</xdr:colOff>
      <xdr:row>30</xdr:row>
      <xdr:rowOff>61912</xdr:rowOff>
    </xdr:from>
    <xdr:to>
      <xdr:col>45</xdr:col>
      <xdr:colOff>209550</xdr:colOff>
      <xdr:row>44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79</xdr:col>
      <xdr:colOff>133350</xdr:colOff>
      <xdr:row>31</xdr:row>
      <xdr:rowOff>109537</xdr:rowOff>
    </xdr:from>
    <xdr:to>
      <xdr:col>86</xdr:col>
      <xdr:colOff>104775</xdr:colOff>
      <xdr:row>45</xdr:row>
      <xdr:rowOff>185737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57</xdr:col>
      <xdr:colOff>152400</xdr:colOff>
      <xdr:row>20</xdr:row>
      <xdr:rowOff>33337</xdr:rowOff>
    </xdr:from>
    <xdr:to>
      <xdr:col>70</xdr:col>
      <xdr:colOff>171450</xdr:colOff>
      <xdr:row>36</xdr:row>
      <xdr:rowOff>28575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151</xdr:col>
      <xdr:colOff>19050</xdr:colOff>
      <xdr:row>1</xdr:row>
      <xdr:rowOff>90487</xdr:rowOff>
    </xdr:from>
    <xdr:to>
      <xdr:col>158</xdr:col>
      <xdr:colOff>323850</xdr:colOff>
      <xdr:row>15</xdr:row>
      <xdr:rowOff>166687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139</xdr:col>
      <xdr:colOff>180975</xdr:colOff>
      <xdr:row>31</xdr:row>
      <xdr:rowOff>138112</xdr:rowOff>
    </xdr:from>
    <xdr:to>
      <xdr:col>145</xdr:col>
      <xdr:colOff>323850</xdr:colOff>
      <xdr:row>46</xdr:row>
      <xdr:rowOff>23812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57</xdr:col>
      <xdr:colOff>276225</xdr:colOff>
      <xdr:row>44</xdr:row>
      <xdr:rowOff>100011</xdr:rowOff>
    </xdr:from>
    <xdr:to>
      <xdr:col>70</xdr:col>
      <xdr:colOff>200025</xdr:colOff>
      <xdr:row>61</xdr:row>
      <xdr:rowOff>47624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83</xdr:col>
      <xdr:colOff>38100</xdr:colOff>
      <xdr:row>48</xdr:row>
      <xdr:rowOff>52387</xdr:rowOff>
    </xdr:from>
    <xdr:to>
      <xdr:col>95</xdr:col>
      <xdr:colOff>333375</xdr:colOff>
      <xdr:row>62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138</xdr:col>
      <xdr:colOff>457200</xdr:colOff>
      <xdr:row>47</xdr:row>
      <xdr:rowOff>4762</xdr:rowOff>
    </xdr:from>
    <xdr:to>
      <xdr:col>150</xdr:col>
      <xdr:colOff>47625</xdr:colOff>
      <xdr:row>61</xdr:row>
      <xdr:rowOff>80962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91</xdr:col>
      <xdr:colOff>28575</xdr:colOff>
      <xdr:row>68</xdr:row>
      <xdr:rowOff>185737</xdr:rowOff>
    </xdr:from>
    <xdr:to>
      <xdr:col>101</xdr:col>
      <xdr:colOff>581025</xdr:colOff>
      <xdr:row>83</xdr:row>
      <xdr:rowOff>71437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142</xdr:col>
      <xdr:colOff>447674</xdr:colOff>
      <xdr:row>68</xdr:row>
      <xdr:rowOff>33337</xdr:rowOff>
    </xdr:from>
    <xdr:to>
      <xdr:col>154</xdr:col>
      <xdr:colOff>19049</xdr:colOff>
      <xdr:row>82</xdr:row>
      <xdr:rowOff>109537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133350</xdr:colOff>
      <xdr:row>16</xdr:row>
      <xdr:rowOff>128587</xdr:rowOff>
    </xdr:from>
    <xdr:to>
      <xdr:col>30</xdr:col>
      <xdr:colOff>438150</xdr:colOff>
      <xdr:row>30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133350</xdr:colOff>
      <xdr:row>31</xdr:row>
      <xdr:rowOff>100012</xdr:rowOff>
    </xdr:from>
    <xdr:to>
      <xdr:col>30</xdr:col>
      <xdr:colOff>438150</xdr:colOff>
      <xdr:row>45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9525</xdr:colOff>
      <xdr:row>36</xdr:row>
      <xdr:rowOff>100012</xdr:rowOff>
    </xdr:from>
    <xdr:to>
      <xdr:col>65</xdr:col>
      <xdr:colOff>314325</xdr:colOff>
      <xdr:row>50</xdr:row>
      <xdr:rowOff>176212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81</xdr:col>
      <xdr:colOff>247649</xdr:colOff>
      <xdr:row>26</xdr:row>
      <xdr:rowOff>100012</xdr:rowOff>
    </xdr:from>
    <xdr:to>
      <xdr:col>90</xdr:col>
      <xdr:colOff>600074</xdr:colOff>
      <xdr:row>48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247650</xdr:colOff>
      <xdr:row>1</xdr:row>
      <xdr:rowOff>80962</xdr:rowOff>
    </xdr:from>
    <xdr:to>
      <xdr:col>51</xdr:col>
      <xdr:colOff>552450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390525</xdr:colOff>
      <xdr:row>17</xdr:row>
      <xdr:rowOff>90487</xdr:rowOff>
    </xdr:from>
    <xdr:to>
      <xdr:col>44</xdr:col>
      <xdr:colOff>304800</xdr:colOff>
      <xdr:row>31</xdr:row>
      <xdr:rowOff>166687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257175</xdr:colOff>
      <xdr:row>24</xdr:row>
      <xdr:rowOff>52386</xdr:rowOff>
    </xdr:from>
    <xdr:to>
      <xdr:col>59</xdr:col>
      <xdr:colOff>438150</xdr:colOff>
      <xdr:row>42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60</xdr:col>
      <xdr:colOff>47625</xdr:colOff>
      <xdr:row>29</xdr:row>
      <xdr:rowOff>109536</xdr:rowOff>
    </xdr:from>
    <xdr:to>
      <xdr:col>70</xdr:col>
      <xdr:colOff>438150</xdr:colOff>
      <xdr:row>45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28574</xdr:colOff>
      <xdr:row>26</xdr:row>
      <xdr:rowOff>14286</xdr:rowOff>
    </xdr:from>
    <xdr:to>
      <xdr:col>82</xdr:col>
      <xdr:colOff>390524</xdr:colOff>
      <xdr:row>42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109</xdr:col>
      <xdr:colOff>133350</xdr:colOff>
      <xdr:row>29</xdr:row>
      <xdr:rowOff>61912</xdr:rowOff>
    </xdr:from>
    <xdr:to>
      <xdr:col>116</xdr:col>
      <xdr:colOff>104775</xdr:colOff>
      <xdr:row>43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174</xdr:col>
      <xdr:colOff>523875</xdr:colOff>
      <xdr:row>23</xdr:row>
      <xdr:rowOff>176212</xdr:rowOff>
    </xdr:from>
    <xdr:to>
      <xdr:col>181</xdr:col>
      <xdr:colOff>419100</xdr:colOff>
      <xdr:row>38</xdr:row>
      <xdr:rowOff>61912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211</xdr:col>
      <xdr:colOff>219075</xdr:colOff>
      <xdr:row>0</xdr:row>
      <xdr:rowOff>57150</xdr:rowOff>
    </xdr:from>
    <xdr:to>
      <xdr:col>222</xdr:col>
      <xdr:colOff>295275</xdr:colOff>
      <xdr:row>19</xdr:row>
      <xdr:rowOff>90488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119</xdr:col>
      <xdr:colOff>333375</xdr:colOff>
      <xdr:row>32</xdr:row>
      <xdr:rowOff>80962</xdr:rowOff>
    </xdr:from>
    <xdr:to>
      <xdr:col>125</xdr:col>
      <xdr:colOff>609600</xdr:colOff>
      <xdr:row>46</xdr:row>
      <xdr:rowOff>157162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200024</xdr:colOff>
      <xdr:row>0</xdr:row>
      <xdr:rowOff>90487</xdr:rowOff>
    </xdr:from>
    <xdr:to>
      <xdr:col>56</xdr:col>
      <xdr:colOff>266699</xdr:colOff>
      <xdr:row>17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109</xdr:col>
      <xdr:colOff>114300</xdr:colOff>
      <xdr:row>0</xdr:row>
      <xdr:rowOff>42862</xdr:rowOff>
    </xdr:from>
    <xdr:to>
      <xdr:col>120</xdr:col>
      <xdr:colOff>466725</xdr:colOff>
      <xdr:row>16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120</xdr:col>
      <xdr:colOff>581025</xdr:colOff>
      <xdr:row>0</xdr:row>
      <xdr:rowOff>61912</xdr:rowOff>
    </xdr:from>
    <xdr:to>
      <xdr:col>132</xdr:col>
      <xdr:colOff>66675</xdr:colOff>
      <xdr:row>16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142</xdr:col>
      <xdr:colOff>161924</xdr:colOff>
      <xdr:row>0</xdr:row>
      <xdr:rowOff>128587</xdr:rowOff>
    </xdr:from>
    <xdr:to>
      <xdr:col>153</xdr:col>
      <xdr:colOff>419099</xdr:colOff>
      <xdr:row>16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66675</xdr:colOff>
      <xdr:row>24</xdr:row>
      <xdr:rowOff>109537</xdr:rowOff>
    </xdr:from>
    <xdr:to>
      <xdr:col>38</xdr:col>
      <xdr:colOff>600075</xdr:colOff>
      <xdr:row>38</xdr:row>
      <xdr:rowOff>185737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419100</xdr:colOff>
      <xdr:row>24</xdr:row>
      <xdr:rowOff>100012</xdr:rowOff>
    </xdr:from>
    <xdr:to>
      <xdr:col>46</xdr:col>
      <xdr:colOff>342900</xdr:colOff>
      <xdr:row>38</xdr:row>
      <xdr:rowOff>176212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447675</xdr:colOff>
      <xdr:row>24</xdr:row>
      <xdr:rowOff>185737</xdr:rowOff>
    </xdr:from>
    <xdr:to>
      <xdr:col>56</xdr:col>
      <xdr:colOff>361950</xdr:colOff>
      <xdr:row>39</xdr:row>
      <xdr:rowOff>71437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38100</xdr:colOff>
      <xdr:row>1</xdr:row>
      <xdr:rowOff>71436</xdr:rowOff>
    </xdr:from>
    <xdr:to>
      <xdr:col>71</xdr:col>
      <xdr:colOff>552450</xdr:colOff>
      <xdr:row>17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1</xdr:row>
      <xdr:rowOff>23812</xdr:rowOff>
    </xdr:from>
    <xdr:to>
      <xdr:col>15</xdr:col>
      <xdr:colOff>333374</xdr:colOff>
      <xdr:row>20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5" sqref="A5"/>
    </sheetView>
  </sheetViews>
  <sheetFormatPr defaultRowHeight="15" x14ac:dyDescent="0.25"/>
  <sheetData>
    <row r="2" spans="1:1" x14ac:dyDescent="0.25">
      <c r="A2" t="s">
        <v>14</v>
      </c>
    </row>
    <row r="4" spans="1:1" x14ac:dyDescent="0.25">
      <c r="A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432"/>
  <sheetViews>
    <sheetView topLeftCell="K131" workbookViewId="0">
      <selection activeCell="EL23" sqref="EL23"/>
    </sheetView>
  </sheetViews>
  <sheetFormatPr defaultRowHeight="15" x14ac:dyDescent="0.25"/>
  <cols>
    <col min="6" max="6" width="12" bestFit="1" customWidth="1"/>
    <col min="7" max="7" width="11" bestFit="1" customWidth="1"/>
    <col min="8" max="8" width="12" bestFit="1" customWidth="1"/>
    <col min="9" max="9" width="11" bestFit="1" customWidth="1"/>
    <col min="10" max="10" width="9.28515625" bestFit="1" customWidth="1"/>
    <col min="12" max="12" width="12" bestFit="1" customWidth="1"/>
    <col min="13" max="13" width="10.5703125" customWidth="1"/>
    <col min="14" max="14" width="11" customWidth="1"/>
    <col min="15" max="15" width="11.140625" customWidth="1"/>
    <col min="16" max="16" width="9.5703125" bestFit="1" customWidth="1"/>
    <col min="17" max="18" width="12" bestFit="1" customWidth="1"/>
    <col min="19" max="19" width="9.42578125" bestFit="1" customWidth="1"/>
    <col min="20" max="21" width="9.42578125" customWidth="1"/>
    <col min="22" max="22" width="11.5703125" bestFit="1" customWidth="1"/>
    <col min="24" max="25" width="12.140625" bestFit="1" customWidth="1"/>
    <col min="26" max="26" width="10.5703125" bestFit="1" customWidth="1"/>
    <col min="29" max="29" width="11.5703125" bestFit="1" customWidth="1"/>
    <col min="30" max="30" width="9.140625" customWidth="1"/>
    <col min="35" max="36" width="10.7109375" customWidth="1"/>
    <col min="40" max="40" width="5.28515625" customWidth="1"/>
    <col min="42" max="42" width="9.5703125" bestFit="1" customWidth="1"/>
    <col min="46" max="46" width="12" bestFit="1" customWidth="1"/>
    <col min="47" max="47" width="12.28515625" bestFit="1" customWidth="1"/>
    <col min="48" max="48" width="11" bestFit="1" customWidth="1"/>
    <col min="49" max="49" width="9.5703125" bestFit="1" customWidth="1"/>
    <col min="50" max="50" width="9.28515625" bestFit="1" customWidth="1"/>
    <col min="55" max="55" width="12" bestFit="1" customWidth="1"/>
    <col min="56" max="56" width="11" bestFit="1" customWidth="1"/>
    <col min="57" max="57" width="9.28515625" bestFit="1" customWidth="1"/>
    <col min="97" max="98" width="12" bestFit="1" customWidth="1"/>
    <col min="107" max="107" width="12" bestFit="1" customWidth="1"/>
    <col min="108" max="108" width="9.28515625" bestFit="1" customWidth="1"/>
    <col min="112" max="112" width="12" bestFit="1" customWidth="1"/>
    <col min="113" max="114" width="12.140625" bestFit="1" customWidth="1"/>
    <col min="115" max="115" width="12" bestFit="1" customWidth="1"/>
    <col min="118" max="118" width="9.140625" customWidth="1"/>
    <col min="120" max="120" width="9.140625" customWidth="1"/>
    <col min="129" max="129" width="12" bestFit="1" customWidth="1"/>
    <col min="130" max="130" width="9.28515625" bestFit="1" customWidth="1"/>
    <col min="132" max="132" width="12" bestFit="1" customWidth="1"/>
    <col min="133" max="134" width="9.28515625" bestFit="1" customWidth="1"/>
    <col min="138" max="138" width="12" bestFit="1" customWidth="1"/>
    <col min="139" max="141" width="9.28515625" bestFit="1" customWidth="1"/>
  </cols>
  <sheetData>
    <row r="1" spans="1:143" x14ac:dyDescent="0.25">
      <c r="A1" s="23" t="s">
        <v>599</v>
      </c>
      <c r="AG1" t="s">
        <v>0</v>
      </c>
      <c r="AI1" s="48" t="s">
        <v>225</v>
      </c>
      <c r="AJ1" s="48" t="s">
        <v>225</v>
      </c>
      <c r="AL1" t="s">
        <v>228</v>
      </c>
      <c r="AS1" t="s">
        <v>231</v>
      </c>
      <c r="BW1" t="s">
        <v>239</v>
      </c>
      <c r="CN1" t="s">
        <v>383</v>
      </c>
      <c r="CO1" t="s">
        <v>250</v>
      </c>
      <c r="CP1" t="s">
        <v>251</v>
      </c>
      <c r="CR1" t="s">
        <v>250</v>
      </c>
      <c r="CS1" t="s">
        <v>251</v>
      </c>
      <c r="CT1" t="s">
        <v>144</v>
      </c>
      <c r="CU1" t="s">
        <v>352</v>
      </c>
      <c r="DA1" t="s">
        <v>43</v>
      </c>
      <c r="DB1" t="s">
        <v>271</v>
      </c>
      <c r="DC1" t="s">
        <v>272</v>
      </c>
      <c r="DD1" t="s">
        <v>144</v>
      </c>
      <c r="DE1" t="s">
        <v>352</v>
      </c>
      <c r="DF1" t="s">
        <v>43</v>
      </c>
      <c r="DG1" t="s">
        <v>70</v>
      </c>
      <c r="DH1" t="str">
        <f>DB1</f>
        <v>GS on-alloc</v>
      </c>
      <c r="DI1" t="str">
        <f>DC1</f>
        <v>GS off-alloc</v>
      </c>
      <c r="DJ1" t="str">
        <f>DE1</f>
        <v>BD diversions</v>
      </c>
      <c r="DL1" t="s">
        <v>375</v>
      </c>
      <c r="DO1" t="s">
        <v>380</v>
      </c>
      <c r="DR1">
        <v>8</v>
      </c>
      <c r="DS1" t="s">
        <v>376</v>
      </c>
      <c r="DT1" t="s">
        <v>381</v>
      </c>
      <c r="DU1">
        <v>10</v>
      </c>
      <c r="DV1" t="s">
        <v>376</v>
      </c>
      <c r="EG1" t="s">
        <v>385</v>
      </c>
    </row>
    <row r="2" spans="1:143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t="s">
        <v>135</v>
      </c>
      <c r="P2" t="s">
        <v>235</v>
      </c>
      <c r="Q2" t="s">
        <v>172</v>
      </c>
      <c r="AG2" t="s">
        <v>212</v>
      </c>
      <c r="AH2" t="s">
        <v>229</v>
      </c>
      <c r="AI2" s="49" t="s">
        <v>153</v>
      </c>
      <c r="AJ2" s="49" t="s">
        <v>144</v>
      </c>
      <c r="AK2" t="s">
        <v>42</v>
      </c>
      <c r="AL2" t="s">
        <v>230</v>
      </c>
      <c r="AM2" t="s">
        <v>144</v>
      </c>
      <c r="AO2" t="s">
        <v>42</v>
      </c>
      <c r="AP2" t="s">
        <v>230</v>
      </c>
      <c r="AQ2" t="s">
        <v>144</v>
      </c>
      <c r="AT2" t="s">
        <v>236</v>
      </c>
      <c r="BY2" s="2" t="s">
        <v>1</v>
      </c>
      <c r="BZ2" s="2" t="s">
        <v>2</v>
      </c>
      <c r="CA2" s="2" t="s">
        <v>3</v>
      </c>
      <c r="CB2" s="2" t="s">
        <v>4</v>
      </c>
      <c r="CC2" s="2" t="s">
        <v>5</v>
      </c>
      <c r="CD2" s="2" t="s">
        <v>6</v>
      </c>
      <c r="CE2" s="2" t="s">
        <v>7</v>
      </c>
      <c r="CF2" s="2" t="s">
        <v>8</v>
      </c>
      <c r="CG2" s="2" t="s">
        <v>9</v>
      </c>
      <c r="CH2" s="2" t="s">
        <v>10</v>
      </c>
      <c r="CI2" s="2" t="s">
        <v>11</v>
      </c>
      <c r="CJ2" s="2" t="s">
        <v>12</v>
      </c>
      <c r="CK2" s="2" t="s">
        <v>123</v>
      </c>
      <c r="CL2" s="2" t="s">
        <v>377</v>
      </c>
      <c r="CM2" s="2" t="s">
        <v>382</v>
      </c>
      <c r="CN2" s="2"/>
      <c r="CO2" s="69">
        <v>6205.448864477873</v>
      </c>
      <c r="CP2" s="8">
        <v>3.8481903076171907E-2</v>
      </c>
      <c r="CQ2" s="56">
        <v>35796</v>
      </c>
      <c r="CR2" s="8">
        <v>2105.3186540543111</v>
      </c>
      <c r="CS2" s="8">
        <v>103.67458796501163</v>
      </c>
      <c r="CT2" s="8">
        <v>0</v>
      </c>
      <c r="CU2" s="8">
        <v>345.9</v>
      </c>
      <c r="DA2">
        <v>1999</v>
      </c>
      <c r="DB2" s="8">
        <f>CW24</f>
        <v>25673.461568519291</v>
      </c>
      <c r="DC2" s="8">
        <f t="shared" ref="DC2:DE2" si="0">CX24</f>
        <v>32841.082529702879</v>
      </c>
      <c r="DD2" s="8">
        <f t="shared" si="0"/>
        <v>0</v>
      </c>
      <c r="DE2" s="8">
        <f t="shared" si="0"/>
        <v>12133.657670000001</v>
      </c>
      <c r="DF2">
        <v>1999</v>
      </c>
      <c r="DG2" s="8">
        <v>15147.43725950543</v>
      </c>
      <c r="DH2" s="8">
        <f t="shared" ref="DH2:DH16" si="1">DB2</f>
        <v>25673.461568519291</v>
      </c>
      <c r="DI2" s="8">
        <f t="shared" ref="DI2:DI16" si="2">DC2</f>
        <v>32841.082529702879</v>
      </c>
      <c r="DJ2" s="8">
        <f t="shared" ref="DJ2:DJ16" si="3">DE2</f>
        <v>12133.657670000001</v>
      </c>
      <c r="DM2" t="s">
        <v>43</v>
      </c>
      <c r="DN2" t="s">
        <v>55</v>
      </c>
      <c r="DO2" t="s">
        <v>56</v>
      </c>
      <c r="DP2" t="s">
        <v>57</v>
      </c>
      <c r="DQ2" t="s">
        <v>40</v>
      </c>
      <c r="DR2" t="s">
        <v>59</v>
      </c>
      <c r="DS2" t="s">
        <v>60</v>
      </c>
      <c r="DT2" t="s">
        <v>379</v>
      </c>
      <c r="DU2" t="s">
        <v>378</v>
      </c>
      <c r="DV2" t="s">
        <v>61</v>
      </c>
      <c r="DY2" t="s">
        <v>324</v>
      </c>
      <c r="DZ2" t="s">
        <v>250</v>
      </c>
      <c r="EA2" t="s">
        <v>73</v>
      </c>
      <c r="EG2" t="str">
        <f>DA1</f>
        <v>Plant in</v>
      </c>
      <c r="EH2" t="str">
        <f t="shared" ref="EH2" si="4">DB1</f>
        <v>GS on-alloc</v>
      </c>
      <c r="EI2" t="s">
        <v>499</v>
      </c>
      <c r="EJ2" t="s">
        <v>386</v>
      </c>
      <c r="EK2" t="str">
        <f t="shared" ref="EK2:EK17" si="5">EG2</f>
        <v>Plant in</v>
      </c>
      <c r="EL2" t="str">
        <f t="shared" ref="EL2:EL17" si="6">DG1</f>
        <v>Ha</v>
      </c>
      <c r="EM2" t="s">
        <v>387</v>
      </c>
    </row>
    <row r="3" spans="1:143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O3" s="2" t="s">
        <v>136</v>
      </c>
      <c r="P3" s="2" t="s">
        <v>136</v>
      </c>
      <c r="Q3" s="2" t="s">
        <v>136</v>
      </c>
      <c r="AG3">
        <v>1998</v>
      </c>
      <c r="AH3">
        <v>1</v>
      </c>
      <c r="AI3" s="50">
        <v>149182.98012642306</v>
      </c>
      <c r="AJ3" s="50">
        <v>0</v>
      </c>
      <c r="AS3" t="s">
        <v>43</v>
      </c>
      <c r="AT3" t="s">
        <v>230</v>
      </c>
      <c r="AU3" t="s">
        <v>144</v>
      </c>
      <c r="AV3" t="s">
        <v>232</v>
      </c>
      <c r="AW3" t="s">
        <v>233</v>
      </c>
      <c r="AX3" t="str">
        <f>AS3</f>
        <v>Plant in</v>
      </c>
      <c r="AY3" t="str">
        <f>AW3</f>
        <v>area ha</v>
      </c>
      <c r="AZ3" t="s">
        <v>234</v>
      </c>
      <c r="BX3" s="38">
        <v>1999</v>
      </c>
      <c r="BY3" s="11">
        <v>109.70066655476889</v>
      </c>
      <c r="BZ3" s="11">
        <v>30.06133336385091</v>
      </c>
      <c r="CA3" s="11">
        <v>78.494000015258791</v>
      </c>
      <c r="CB3" s="11">
        <v>65.990000089009598</v>
      </c>
      <c r="CC3" s="11">
        <v>12.451333357493082</v>
      </c>
      <c r="CD3" s="11">
        <v>55.282000045776364</v>
      </c>
      <c r="CE3" s="11">
        <v>50.935999959309896</v>
      </c>
      <c r="CF3" s="11">
        <v>25.481333300272624</v>
      </c>
      <c r="CG3" s="11">
        <v>27.938666585286459</v>
      </c>
      <c r="CH3" s="11">
        <v>94.328666839599606</v>
      </c>
      <c r="CI3" s="11">
        <v>76.089333343505857</v>
      </c>
      <c r="CJ3" s="11">
        <v>54.329333368937178</v>
      </c>
      <c r="CK3" s="11">
        <v>681.0826668230693</v>
      </c>
      <c r="CL3" s="11">
        <f>CI3+CJ3+BY4+BZ4+CA4</f>
        <v>329.76066613515218</v>
      </c>
      <c r="CM3" s="11">
        <f>SUM(CC3:CH3)</f>
        <v>266.41800008773805</v>
      </c>
      <c r="CN3" s="11"/>
      <c r="CO3" s="8">
        <v>2935.6717716693879</v>
      </c>
      <c r="CP3" s="8">
        <v>72.996265314705667</v>
      </c>
      <c r="CQ3" s="56">
        <v>35827</v>
      </c>
      <c r="CR3" s="8">
        <v>2134.0705987047409</v>
      </c>
      <c r="CS3" s="8">
        <v>1041.1511914432049</v>
      </c>
      <c r="CT3" s="8">
        <v>0</v>
      </c>
      <c r="CU3" s="8">
        <v>803.54</v>
      </c>
      <c r="CV3" s="8"/>
      <c r="CW3" s="8"/>
      <c r="CX3" s="11"/>
      <c r="CY3" s="8"/>
      <c r="DA3">
        <v>2000</v>
      </c>
      <c r="DB3" s="8">
        <f>CW36</f>
        <v>5667.0068185647251</v>
      </c>
      <c r="DC3" s="8">
        <f t="shared" ref="DC3:DE3" si="7">CX36</f>
        <v>17394.388291974454</v>
      </c>
      <c r="DD3" s="8">
        <f t="shared" si="7"/>
        <v>0</v>
      </c>
      <c r="DE3" s="8">
        <f t="shared" si="7"/>
        <v>2957.9750000000004</v>
      </c>
      <c r="DF3">
        <v>2000</v>
      </c>
      <c r="DG3" s="8">
        <v>12437.739534997911</v>
      </c>
      <c r="DH3" s="8">
        <f t="shared" si="1"/>
        <v>5667.0068185647251</v>
      </c>
      <c r="DI3" s="8">
        <f t="shared" si="2"/>
        <v>17394.388291974454</v>
      </c>
      <c r="DJ3" s="8">
        <f t="shared" si="3"/>
        <v>2957.9750000000004</v>
      </c>
      <c r="DM3">
        <v>1998</v>
      </c>
      <c r="DN3" s="8"/>
      <c r="DU3" s="8">
        <f>DA25</f>
        <v>27997.241359948017</v>
      </c>
      <c r="DV3" s="8">
        <v>40000</v>
      </c>
      <c r="DX3">
        <f>DM4</f>
        <v>1999</v>
      </c>
      <c r="DY3" s="8">
        <f>DN4-DH2</f>
        <v>84974.740199702879</v>
      </c>
      <c r="DZ3" s="8">
        <f>DH2</f>
        <v>25673.461568519291</v>
      </c>
      <c r="EA3" s="11">
        <f>CM3-$CM$21</f>
        <v>91.169215738831781</v>
      </c>
      <c r="EC3">
        <f>DX3</f>
        <v>1999</v>
      </c>
      <c r="ED3" s="8">
        <f>DG2</f>
        <v>15147.43725950543</v>
      </c>
      <c r="EG3">
        <f t="shared" ref="EG3:EG17" si="8">DA2</f>
        <v>1999</v>
      </c>
      <c r="EH3" s="8">
        <f t="shared" ref="EH3:EH17" si="9">DB2</f>
        <v>25673.461568519291</v>
      </c>
      <c r="EI3" s="8">
        <f>DC2+DE2</f>
        <v>44974.740199702879</v>
      </c>
      <c r="EJ3">
        <v>0</v>
      </c>
      <c r="EK3">
        <f t="shared" si="5"/>
        <v>1999</v>
      </c>
      <c r="EL3" s="8">
        <f t="shared" si="6"/>
        <v>15147.43725950543</v>
      </c>
      <c r="EM3" s="8">
        <f t="shared" ref="EM3:EM17" si="10">($EJ$19*EH3)+($EI$19*EI3)+($EH$19*EJ3)</f>
        <v>16811.070108378346</v>
      </c>
    </row>
    <row r="4" spans="1:143" x14ac:dyDescent="0.25">
      <c r="A4" s="1">
        <v>1999</v>
      </c>
      <c r="B4" s="3">
        <v>93.034718440000006</v>
      </c>
      <c r="C4" s="3">
        <v>62.571745190000001</v>
      </c>
      <c r="D4" s="3">
        <v>112.0180056</v>
      </c>
      <c r="E4" s="3">
        <v>53.79944596</v>
      </c>
      <c r="F4" s="3">
        <v>10.30277008</v>
      </c>
      <c r="G4" s="3">
        <v>54.715604829999997</v>
      </c>
      <c r="H4" s="3">
        <v>45.793998160000001</v>
      </c>
      <c r="I4" s="3">
        <v>42.491505080000003</v>
      </c>
      <c r="J4" s="3">
        <v>35.005447820000001</v>
      </c>
      <c r="K4" s="3">
        <v>127.91662049999999</v>
      </c>
      <c r="L4" s="3">
        <v>95.70258536</v>
      </c>
      <c r="M4" s="3">
        <v>66.454016679999995</v>
      </c>
      <c r="O4" s="11">
        <f>SUM(F4:K4)</f>
        <v>316.22594647</v>
      </c>
      <c r="P4" s="11">
        <f>SUM(I4:K4)</f>
        <v>205.41357339999999</v>
      </c>
      <c r="Q4" s="11">
        <f>L4+M4+B5+C5+D5</f>
        <v>375.31283459999997</v>
      </c>
      <c r="AG4">
        <v>1998</v>
      </c>
      <c r="AH4">
        <v>2</v>
      </c>
      <c r="AI4" s="50">
        <v>75033.61508961393</v>
      </c>
      <c r="AJ4" s="50">
        <v>0</v>
      </c>
      <c r="AS4">
        <v>1999</v>
      </c>
      <c r="AT4" s="8">
        <v>80418.511844418943</v>
      </c>
      <c r="AU4" s="8">
        <v>315.67456996440893</v>
      </c>
      <c r="AV4" s="11">
        <f>O4</f>
        <v>316.22594647</v>
      </c>
      <c r="AW4" s="8">
        <v>44590</v>
      </c>
      <c r="AX4">
        <f t="shared" ref="AX4:AX18" si="11">AS4</f>
        <v>1999</v>
      </c>
      <c r="AY4">
        <f t="shared" ref="AY4:AY18" si="12">AW4</f>
        <v>44590</v>
      </c>
      <c r="AZ4" s="8">
        <f t="shared" ref="AZ4:AZ18" si="13">($AV$20*AT4)+($AU$20*AU4)+($AT$20*AV4)</f>
        <v>56174.46940033487</v>
      </c>
      <c r="BX4" s="38">
        <v>2000</v>
      </c>
      <c r="BY4" s="11">
        <v>31.297333310445151</v>
      </c>
      <c r="BZ4" s="11">
        <v>47.038666636149088</v>
      </c>
      <c r="CA4" s="11">
        <v>121.00599947611491</v>
      </c>
      <c r="CB4" s="11">
        <v>21.406666634877524</v>
      </c>
      <c r="CC4" s="11">
        <v>39.68533339182536</v>
      </c>
      <c r="CD4" s="11">
        <v>30.747999979654949</v>
      </c>
      <c r="CE4" s="11">
        <v>18.521999982198079</v>
      </c>
      <c r="CF4" s="11">
        <v>12.534000047047932</v>
      </c>
      <c r="CG4" s="11">
        <v>3.254000005722046</v>
      </c>
      <c r="CH4" s="11">
        <v>86.632000096639004</v>
      </c>
      <c r="CI4" s="11">
        <v>204.28200032552084</v>
      </c>
      <c r="CJ4" s="11">
        <v>11.502666692733765</v>
      </c>
      <c r="CK4" s="11">
        <v>627.90866657892855</v>
      </c>
      <c r="CL4" s="11">
        <f t="shared" ref="CL4:CL19" si="14">CI4+CJ4+BY5+BZ5+CA5</f>
        <v>433.67600071271261</v>
      </c>
      <c r="CM4" s="11">
        <f t="shared" ref="CM4:CM19" si="15">SUM(CC4:CH4)</f>
        <v>191.37533350308735</v>
      </c>
      <c r="CN4" s="11"/>
      <c r="CO4" s="8">
        <v>1596.4612637341033</v>
      </c>
      <c r="CP4" s="8">
        <v>0</v>
      </c>
      <c r="CQ4" s="56">
        <v>35855</v>
      </c>
      <c r="CR4" s="8">
        <v>1264.8623331412673</v>
      </c>
      <c r="CS4" s="8">
        <v>122.6544294357299</v>
      </c>
      <c r="CT4" s="8">
        <v>0</v>
      </c>
      <c r="CU4" s="8">
        <v>202.3</v>
      </c>
      <c r="CV4" s="8"/>
      <c r="CW4" s="8"/>
      <c r="CX4" s="11"/>
      <c r="CY4" s="8"/>
      <c r="DA4">
        <v>2001</v>
      </c>
      <c r="DB4" s="8">
        <f>CW48</f>
        <v>17896.531016611698</v>
      </c>
      <c r="DC4" s="8">
        <f t="shared" ref="DC4:DE4" si="16">CX48</f>
        <v>48141.64163010817</v>
      </c>
      <c r="DD4" s="8">
        <f t="shared" si="16"/>
        <v>52.856597900390589</v>
      </c>
      <c r="DE4" s="8">
        <f t="shared" si="16"/>
        <v>14008.785799999998</v>
      </c>
      <c r="DF4">
        <v>2001</v>
      </c>
      <c r="DG4" s="8">
        <v>17135</v>
      </c>
      <c r="DH4" s="8">
        <f t="shared" si="1"/>
        <v>17896.531016611698</v>
      </c>
      <c r="DI4" s="8">
        <f t="shared" si="2"/>
        <v>48141.64163010817</v>
      </c>
      <c r="DJ4" s="8">
        <f t="shared" si="3"/>
        <v>14008.785799999998</v>
      </c>
      <c r="DM4">
        <v>1999</v>
      </c>
      <c r="DN4" s="8">
        <f>SUM(DB2:DE2)+DV3</f>
        <v>110648.20176822218</v>
      </c>
      <c r="DO4" s="11">
        <f>CL3</f>
        <v>329.76066613515218</v>
      </c>
      <c r="DP4" s="11">
        <f>DO4-$DQ$16</f>
        <v>179.76066613515218</v>
      </c>
      <c r="DQ4" s="8">
        <f>DG2</f>
        <v>15147.43725950543</v>
      </c>
      <c r="DR4" s="8">
        <f>$DR$1*DQ4</f>
        <v>121179.49807604344</v>
      </c>
      <c r="DS4" s="8">
        <f>DR4-((DP4/100)*DQ4)</f>
        <v>93950.363955952242</v>
      </c>
      <c r="DT4" s="8">
        <f>DN4-DS4</f>
        <v>16697.837812269936</v>
      </c>
      <c r="DU4" s="8">
        <f>DA37</f>
        <v>19355.659097280412</v>
      </c>
      <c r="DV4" s="8">
        <f>IF(DT4&gt;0,DT4,IF(-DT4&lt;DU4,DT4,-DU4))</f>
        <v>16697.837812269936</v>
      </c>
      <c r="DX4">
        <f t="shared" ref="DX4:DX12" si="17">DM5</f>
        <v>2000</v>
      </c>
      <c r="DY4" s="8">
        <f t="shared" ref="DY4:DY12" si="18">DN5-DH3</f>
        <v>37050.201104244392</v>
      </c>
      <c r="DZ4" s="8">
        <f t="shared" ref="DZ4:DZ12" si="19">DH3</f>
        <v>5667.0068185647251</v>
      </c>
      <c r="EA4" s="11">
        <f t="shared" ref="EA4:EA12" si="20">CM4-$CM$21</f>
        <v>16.126549154181077</v>
      </c>
      <c r="EB4" s="8"/>
      <c r="EC4">
        <f t="shared" ref="EC4:EC12" si="21">DX4</f>
        <v>2000</v>
      </c>
      <c r="ED4" s="8">
        <f t="shared" ref="ED4:ED12" si="22">DG3</f>
        <v>12437.739534997911</v>
      </c>
      <c r="EG4">
        <f t="shared" si="8"/>
        <v>2000</v>
      </c>
      <c r="EH4" s="8">
        <f t="shared" si="9"/>
        <v>5667.0068185647251</v>
      </c>
      <c r="EI4" s="8">
        <f t="shared" ref="EI4:EI17" si="23">DC3+DE3</f>
        <v>20352.363291974456</v>
      </c>
      <c r="EJ4">
        <v>1</v>
      </c>
      <c r="EK4">
        <f t="shared" si="5"/>
        <v>2000</v>
      </c>
      <c r="EL4" s="8">
        <f t="shared" si="6"/>
        <v>12437.739534997911</v>
      </c>
      <c r="EM4" s="8">
        <f t="shared" si="10"/>
        <v>12437.739534997909</v>
      </c>
    </row>
    <row r="5" spans="1:143" x14ac:dyDescent="0.25">
      <c r="A5" s="1">
        <v>2000</v>
      </c>
      <c r="B5" s="3">
        <v>43.55226219</v>
      </c>
      <c r="C5" s="3">
        <v>42.972576170000004</v>
      </c>
      <c r="D5" s="3">
        <v>126.6313942</v>
      </c>
      <c r="E5" s="3">
        <v>18.53776547</v>
      </c>
      <c r="F5" s="3">
        <v>35.733148669999999</v>
      </c>
      <c r="G5" s="3">
        <v>17.57590029</v>
      </c>
      <c r="H5" s="3">
        <v>25.909695289999998</v>
      </c>
      <c r="I5" s="3">
        <v>27.094367500000001</v>
      </c>
      <c r="J5" s="3">
        <v>7.378301016</v>
      </c>
      <c r="K5" s="3">
        <v>87.791874519999993</v>
      </c>
      <c r="L5" s="3">
        <v>195.35235470000001</v>
      </c>
      <c r="M5" s="3">
        <v>53.412003759999997</v>
      </c>
      <c r="O5" s="11">
        <f t="shared" ref="O5:O18" si="24">SUM(F5:K5)</f>
        <v>201.48328728600001</v>
      </c>
      <c r="P5" s="11">
        <f t="shared" ref="P5:P18" si="25">SUM(I5:K5)</f>
        <v>122.26454303599999</v>
      </c>
      <c r="Q5" s="11">
        <f t="shared" ref="Q5:Q18" si="26">L5+M5+B6+C6+D6</f>
        <v>556.05226256000003</v>
      </c>
      <c r="AG5">
        <v>1998</v>
      </c>
      <c r="AH5">
        <v>3</v>
      </c>
      <c r="AI5" s="50">
        <v>39307.942069649711</v>
      </c>
      <c r="AJ5" s="50">
        <v>0</v>
      </c>
      <c r="AS5">
        <v>2000</v>
      </c>
      <c r="AT5" s="8">
        <v>49884.866875195876</v>
      </c>
      <c r="AU5" s="8">
        <v>0</v>
      </c>
      <c r="AV5" s="11">
        <f t="shared" ref="AV5:AV18" si="27">O5</f>
        <v>201.48328728600001</v>
      </c>
      <c r="AW5" s="8">
        <v>45741</v>
      </c>
      <c r="AX5">
        <f t="shared" si="11"/>
        <v>2000</v>
      </c>
      <c r="AY5">
        <f t="shared" si="12"/>
        <v>45741</v>
      </c>
      <c r="AZ5" s="8">
        <f t="shared" si="13"/>
        <v>35052.698652534389</v>
      </c>
      <c r="BX5" s="38">
        <v>2001</v>
      </c>
      <c r="BY5" s="11">
        <v>121.98333333333333</v>
      </c>
      <c r="BZ5" s="11">
        <v>49.871333478291831</v>
      </c>
      <c r="CA5" s="11">
        <v>46.036666882832847</v>
      </c>
      <c r="CB5" s="11">
        <v>38.448000017801924</v>
      </c>
      <c r="CC5" s="11">
        <v>29.802666702270507</v>
      </c>
      <c r="CD5" s="11">
        <v>43.569333241780598</v>
      </c>
      <c r="CE5" s="11">
        <v>75.760666707356776</v>
      </c>
      <c r="CF5" s="11">
        <v>4.0033333154519397</v>
      </c>
      <c r="CG5" s="11">
        <v>17.308000030517579</v>
      </c>
      <c r="CH5" s="11">
        <v>47.662000096638998</v>
      </c>
      <c r="CI5" s="11">
        <v>58.652666676839196</v>
      </c>
      <c r="CJ5" s="11">
        <v>36.164666697184245</v>
      </c>
      <c r="CK5" s="11">
        <v>569.26266718029979</v>
      </c>
      <c r="CL5" s="11">
        <f t="shared" si="14"/>
        <v>191.27533327341078</v>
      </c>
      <c r="CM5" s="11">
        <f t="shared" si="15"/>
        <v>218.10600009401637</v>
      </c>
      <c r="CN5" s="11"/>
      <c r="CO5" s="8">
        <v>33.68231361652726</v>
      </c>
      <c r="CP5" s="8">
        <v>0</v>
      </c>
      <c r="CQ5" s="56">
        <v>35886</v>
      </c>
      <c r="CR5" s="8">
        <v>184.00704509019857</v>
      </c>
      <c r="CS5" s="8">
        <v>70</v>
      </c>
      <c r="CT5" s="8">
        <v>0</v>
      </c>
      <c r="CU5" s="8">
        <v>510.74</v>
      </c>
      <c r="CV5" s="8"/>
      <c r="CW5" s="8"/>
      <c r="CX5" s="11"/>
      <c r="CY5" s="8"/>
      <c r="DA5">
        <v>2002</v>
      </c>
      <c r="DB5" s="8">
        <f>CW60</f>
        <v>6370.8583297708783</v>
      </c>
      <c r="DC5" s="8">
        <f t="shared" ref="DC5:DE5" si="28">CX60</f>
        <v>16475.634765918654</v>
      </c>
      <c r="DD5" s="8">
        <f t="shared" si="28"/>
        <v>0</v>
      </c>
      <c r="DE5" s="8">
        <f t="shared" si="28"/>
        <v>7309.5812860000005</v>
      </c>
      <c r="DF5">
        <v>2002</v>
      </c>
      <c r="DG5" s="8">
        <v>6540</v>
      </c>
      <c r="DH5" s="8">
        <f t="shared" si="1"/>
        <v>6370.8583297708783</v>
      </c>
      <c r="DI5" s="8">
        <f t="shared" si="2"/>
        <v>16475.634765918654</v>
      </c>
      <c r="DJ5" s="8">
        <f t="shared" si="3"/>
        <v>7309.5812860000005</v>
      </c>
      <c r="DM5">
        <v>2000</v>
      </c>
      <c r="DN5" s="8">
        <f t="shared" ref="DN5:DN14" si="29">SUM(DB3:DE3)+DV4</f>
        <v>42717.207922809117</v>
      </c>
      <c r="DO5" s="11">
        <f t="shared" ref="DO5:DO14" si="30">CL4</f>
        <v>433.67600071271261</v>
      </c>
      <c r="DP5" s="11">
        <f t="shared" ref="DP5:DP14" si="31">DO5-$DQ$16</f>
        <v>283.67600071271261</v>
      </c>
      <c r="DQ5" s="8">
        <f>DG3</f>
        <v>12437.739534997911</v>
      </c>
      <c r="DR5" s="8">
        <f>$DR$1*DQ5</f>
        <v>99501.916279983285</v>
      </c>
      <c r="DS5" s="8">
        <f>DR5-((DP5/100)*DQ5)</f>
        <v>64219.034188037273</v>
      </c>
      <c r="DT5" s="8">
        <f>DN5-DS5</f>
        <v>-21501.826265228156</v>
      </c>
      <c r="DU5" s="8">
        <f>DA49</f>
        <v>55235.774725451178</v>
      </c>
      <c r="DV5" s="8">
        <f>IF(DT5&gt;0,DT5,IF(-DT5&lt;DU5,DT5,-DU5))</f>
        <v>-21501.826265228156</v>
      </c>
      <c r="DX5">
        <f t="shared" si="17"/>
        <v>2001</v>
      </c>
      <c r="DY5" s="8">
        <f t="shared" si="18"/>
        <v>40701.45776278041</v>
      </c>
      <c r="DZ5" s="8">
        <f t="shared" si="19"/>
        <v>17896.531016611698</v>
      </c>
      <c r="EA5" s="11">
        <f t="shared" si="20"/>
        <v>42.857215745110096</v>
      </c>
      <c r="EB5" s="8"/>
      <c r="EC5">
        <f t="shared" si="21"/>
        <v>2001</v>
      </c>
      <c r="ED5" s="8">
        <f t="shared" si="22"/>
        <v>17135</v>
      </c>
      <c r="EG5">
        <f t="shared" si="8"/>
        <v>2001</v>
      </c>
      <c r="EH5" s="8">
        <f t="shared" si="9"/>
        <v>17896.531016611698</v>
      </c>
      <c r="EI5" s="8">
        <f t="shared" si="23"/>
        <v>62150.427430108168</v>
      </c>
      <c r="EJ5">
        <v>0</v>
      </c>
      <c r="EK5">
        <f t="shared" si="5"/>
        <v>2001</v>
      </c>
      <c r="EL5" s="8">
        <f t="shared" si="6"/>
        <v>17135</v>
      </c>
      <c r="EM5" s="8">
        <f t="shared" si="10"/>
        <v>14103.946742706274</v>
      </c>
    </row>
    <row r="6" spans="1:143" x14ac:dyDescent="0.25">
      <c r="A6" s="1">
        <v>2001</v>
      </c>
      <c r="B6" s="3">
        <v>126.043398</v>
      </c>
      <c r="C6" s="3">
        <v>92.320406320000004</v>
      </c>
      <c r="D6" s="3">
        <v>88.924099780000006</v>
      </c>
      <c r="E6" s="3">
        <v>26.393167129999998</v>
      </c>
      <c r="F6" s="3">
        <v>35.72668513</v>
      </c>
      <c r="G6" s="3">
        <v>22.97146811</v>
      </c>
      <c r="H6" s="3">
        <v>95.526500479999996</v>
      </c>
      <c r="I6" s="3">
        <v>14.242843929999999</v>
      </c>
      <c r="J6" s="3">
        <v>21.17626963</v>
      </c>
      <c r="K6" s="3">
        <v>49.644875300000002</v>
      </c>
      <c r="L6" s="3">
        <v>122.2128348</v>
      </c>
      <c r="M6" s="3">
        <v>46.907017549999999</v>
      </c>
      <c r="O6" s="11">
        <f t="shared" si="24"/>
        <v>239.28864257999999</v>
      </c>
      <c r="P6" s="11">
        <f t="shared" si="25"/>
        <v>85.063988859999995</v>
      </c>
      <c r="Q6" s="11">
        <f t="shared" si="26"/>
        <v>349.05226240000002</v>
      </c>
      <c r="AG6">
        <v>1998</v>
      </c>
      <c r="AH6">
        <v>4</v>
      </c>
      <c r="AI6" s="50">
        <v>3858.7943961936971</v>
      </c>
      <c r="AJ6" s="50">
        <v>0</v>
      </c>
      <c r="AS6">
        <v>2001</v>
      </c>
      <c r="AT6" s="8">
        <v>3270.975102990863</v>
      </c>
      <c r="AU6" s="8">
        <v>55571.977893918753</v>
      </c>
      <c r="AV6" s="11">
        <f t="shared" si="27"/>
        <v>239.28864257999999</v>
      </c>
      <c r="AW6" s="8">
        <v>62541</v>
      </c>
      <c r="AX6">
        <f t="shared" si="11"/>
        <v>2001</v>
      </c>
      <c r="AY6">
        <f t="shared" si="12"/>
        <v>62541</v>
      </c>
      <c r="AZ6" s="8">
        <f t="shared" si="13"/>
        <v>61070.101630786798</v>
      </c>
      <c r="BX6" s="38">
        <v>2002</v>
      </c>
      <c r="BY6" s="11">
        <v>6.4099999833106995</v>
      </c>
      <c r="BZ6" s="11">
        <v>58.083333180745441</v>
      </c>
      <c r="CA6" s="11">
        <v>31.964666735331217</v>
      </c>
      <c r="CB6" s="11">
        <v>17.333333350817362</v>
      </c>
      <c r="CC6" s="11">
        <v>1.7339999767144521</v>
      </c>
      <c r="CD6" s="11">
        <v>20.288000043233236</v>
      </c>
      <c r="CE6" s="11">
        <v>0.17333333333333334</v>
      </c>
      <c r="CF6" s="11">
        <v>16.313333333333333</v>
      </c>
      <c r="CG6" s="11">
        <v>12.633333333333333</v>
      </c>
      <c r="CH6" s="11">
        <v>7.0933333333333337</v>
      </c>
      <c r="CI6" s="11">
        <v>7.9066666666666663</v>
      </c>
      <c r="CJ6" s="11">
        <v>38.953333333333333</v>
      </c>
      <c r="CK6" s="11">
        <v>218.88666660348576</v>
      </c>
      <c r="CL6" s="11">
        <f t="shared" si="14"/>
        <v>133.72666666666666</v>
      </c>
      <c r="CM6" s="11">
        <f t="shared" si="15"/>
        <v>58.235333353281014</v>
      </c>
      <c r="CN6" s="11"/>
      <c r="CO6" s="8">
        <v>16.164784700050959</v>
      </c>
      <c r="CP6" s="8">
        <v>627.17639474812881</v>
      </c>
      <c r="CQ6" s="56">
        <v>35916</v>
      </c>
      <c r="CR6" s="8">
        <v>37.900926232337966</v>
      </c>
      <c r="CS6" s="8">
        <v>3721.6935430765152</v>
      </c>
      <c r="CT6" s="8">
        <v>0</v>
      </c>
      <c r="CU6" s="8">
        <v>95.016999999999996</v>
      </c>
      <c r="CV6" s="8"/>
      <c r="CW6" s="8"/>
      <c r="CX6" s="11"/>
      <c r="CY6" s="8"/>
      <c r="DA6">
        <v>2003</v>
      </c>
      <c r="DB6" s="8">
        <f>CW72</f>
        <v>2652.8180029135897</v>
      </c>
      <c r="DC6" s="8">
        <f t="shared" ref="DC6:DE6" si="32">CX72</f>
        <v>10847.582994730048</v>
      </c>
      <c r="DD6" s="8">
        <f t="shared" si="32"/>
        <v>0</v>
      </c>
      <c r="DE6" s="8">
        <f t="shared" si="32"/>
        <v>10371.338</v>
      </c>
      <c r="DF6">
        <v>2003</v>
      </c>
      <c r="DG6" s="8">
        <v>419</v>
      </c>
      <c r="DH6" s="8">
        <f t="shared" si="1"/>
        <v>2652.8180029135897</v>
      </c>
      <c r="DI6" s="8">
        <f t="shared" si="2"/>
        <v>10847.582994730048</v>
      </c>
      <c r="DJ6" s="8">
        <f t="shared" si="3"/>
        <v>10371.338</v>
      </c>
      <c r="DM6">
        <v>2001</v>
      </c>
      <c r="DN6" s="8">
        <f t="shared" si="29"/>
        <v>58597.988779392108</v>
      </c>
      <c r="DO6" s="11">
        <f t="shared" si="30"/>
        <v>191.27533327341078</v>
      </c>
      <c r="DP6" s="11">
        <f t="shared" si="31"/>
        <v>41.27533327341078</v>
      </c>
      <c r="DQ6" s="8">
        <f>DG4</f>
        <v>17135</v>
      </c>
      <c r="DR6" s="8">
        <f>$DR$1*DQ6</f>
        <v>137080</v>
      </c>
      <c r="DS6" s="8">
        <f>DR6-((DP6/100)*DQ6)</f>
        <v>130007.47164360106</v>
      </c>
      <c r="DT6" s="8">
        <f>DN6-DS6</f>
        <v>-71409.482864208956</v>
      </c>
      <c r="DU6" s="8">
        <f>DA61</f>
        <v>17574.400154281087</v>
      </c>
      <c r="DV6" s="8">
        <f t="shared" ref="DV6:DV14" si="33">IF(DT6&gt;0,DT6,IF(-DT6&lt;DU6,DT6,-DU6))</f>
        <v>-17574.400154281087</v>
      </c>
      <c r="DX6">
        <f t="shared" si="17"/>
        <v>2002</v>
      </c>
      <c r="DY6" s="8">
        <f t="shared" si="18"/>
        <v>6210.815897637568</v>
      </c>
      <c r="DZ6" s="8">
        <f t="shared" si="19"/>
        <v>6370.8583297708783</v>
      </c>
      <c r="EA6" s="11">
        <f t="shared" si="20"/>
        <v>-117.01345099562525</v>
      </c>
      <c r="EB6" s="8"/>
      <c r="EC6">
        <f t="shared" si="21"/>
        <v>2002</v>
      </c>
      <c r="ED6" s="8">
        <f t="shared" si="22"/>
        <v>6540</v>
      </c>
      <c r="EG6">
        <f t="shared" si="8"/>
        <v>2002</v>
      </c>
      <c r="EH6" s="8">
        <f t="shared" si="9"/>
        <v>6370.8583297708783</v>
      </c>
      <c r="EI6" s="8">
        <f t="shared" si="23"/>
        <v>23785.216051918655</v>
      </c>
      <c r="EJ6">
        <v>0</v>
      </c>
      <c r="EK6">
        <f t="shared" si="5"/>
        <v>2002</v>
      </c>
      <c r="EL6" s="8">
        <f t="shared" si="6"/>
        <v>6540</v>
      </c>
      <c r="EM6" s="8">
        <f t="shared" si="10"/>
        <v>5149.3776801862632</v>
      </c>
    </row>
    <row r="7" spans="1:143" x14ac:dyDescent="0.25">
      <c r="A7" s="1">
        <v>2002</v>
      </c>
      <c r="B7" s="3">
        <v>32.336288109999998</v>
      </c>
      <c r="C7" s="3">
        <v>79.748661190000007</v>
      </c>
      <c r="D7" s="3">
        <v>67.847460749999996</v>
      </c>
      <c r="E7" s="3">
        <v>7.0523545639999998</v>
      </c>
      <c r="F7" s="3">
        <v>3.5137580829999999</v>
      </c>
      <c r="G7" s="3">
        <v>26.179963069999999</v>
      </c>
      <c r="H7" s="3">
        <v>1.5096952910000001</v>
      </c>
      <c r="I7" s="3">
        <v>20.114496769999999</v>
      </c>
      <c r="J7" s="3">
        <v>27.379501390000001</v>
      </c>
      <c r="K7" s="3">
        <v>26.293628810000001</v>
      </c>
      <c r="L7" s="3">
        <v>28.401662049999999</v>
      </c>
      <c r="M7" s="3">
        <v>58.795013849999997</v>
      </c>
      <c r="O7" s="11">
        <f t="shared" si="24"/>
        <v>104.991043414</v>
      </c>
      <c r="P7" s="11">
        <f t="shared" si="25"/>
        <v>73.787626970000005</v>
      </c>
      <c r="Q7" s="11">
        <f t="shared" si="26"/>
        <v>278.62696212000003</v>
      </c>
      <c r="AG7">
        <v>1998</v>
      </c>
      <c r="AH7">
        <v>5</v>
      </c>
      <c r="AI7" s="50">
        <v>16227.140466617999</v>
      </c>
      <c r="AJ7" s="50">
        <v>385</v>
      </c>
      <c r="AS7">
        <v>2002</v>
      </c>
      <c r="AT7" s="8">
        <v>45979.222311034813</v>
      </c>
      <c r="AU7" s="8">
        <v>1255.0271301269499</v>
      </c>
      <c r="AV7" s="11">
        <f t="shared" si="27"/>
        <v>104.991043414</v>
      </c>
      <c r="AW7" s="8">
        <v>42588</v>
      </c>
      <c r="AX7">
        <f t="shared" si="11"/>
        <v>2002</v>
      </c>
      <c r="AY7">
        <f t="shared" si="12"/>
        <v>42588</v>
      </c>
      <c r="AZ7" s="8">
        <f t="shared" si="13"/>
        <v>27831.515678321332</v>
      </c>
      <c r="BX7" s="38">
        <v>2003</v>
      </c>
      <c r="BY7" s="11">
        <v>8.3066666666666666</v>
      </c>
      <c r="BZ7" s="11">
        <v>57.166666666666664</v>
      </c>
      <c r="CA7" s="11">
        <v>21.393333333333334</v>
      </c>
      <c r="CB7" s="11">
        <v>49.733333333333334</v>
      </c>
      <c r="CC7" s="11">
        <v>0.8666666666666667</v>
      </c>
      <c r="CD7" s="11">
        <v>12.14</v>
      </c>
      <c r="CE7" s="11">
        <v>24.632000045776365</v>
      </c>
      <c r="CF7" s="11">
        <v>46.227333361307778</v>
      </c>
      <c r="CG7" s="11">
        <v>0.15466667135556539</v>
      </c>
      <c r="CH7" s="11">
        <v>33.764000078837078</v>
      </c>
      <c r="CI7" s="11">
        <v>31.610000025431315</v>
      </c>
      <c r="CJ7" s="11">
        <v>40.82800008138021</v>
      </c>
      <c r="CK7" s="11">
        <v>326.82266693075496</v>
      </c>
      <c r="CL7" s="11">
        <f t="shared" si="14"/>
        <v>422.29200023651123</v>
      </c>
      <c r="CM7" s="11">
        <f t="shared" si="15"/>
        <v>117.78466682394347</v>
      </c>
      <c r="CN7" s="11"/>
      <c r="CO7" s="8">
        <v>7.1099540665745709</v>
      </c>
      <c r="CP7" s="8">
        <v>328.68306680917732</v>
      </c>
      <c r="CQ7" s="56">
        <v>35947</v>
      </c>
      <c r="CR7" s="8">
        <v>0</v>
      </c>
      <c r="CS7" s="8">
        <v>772.49853134155273</v>
      </c>
      <c r="CT7" s="8">
        <v>0</v>
      </c>
      <c r="CU7" s="8">
        <v>2.1120999999999999</v>
      </c>
      <c r="CV7" s="8"/>
      <c r="CW7" s="8"/>
      <c r="CX7" s="11"/>
      <c r="CY7" s="8"/>
      <c r="DA7">
        <v>2004</v>
      </c>
      <c r="DB7" s="8">
        <f>CW84</f>
        <v>2300.3366734212268</v>
      </c>
      <c r="DC7" s="8">
        <f t="shared" ref="DC7:DE7" si="34">CX84</f>
        <v>32591.541990855745</v>
      </c>
      <c r="DD7" s="8">
        <f t="shared" si="34"/>
        <v>0</v>
      </c>
      <c r="DE7" s="8">
        <f t="shared" si="34"/>
        <v>10558.78816</v>
      </c>
      <c r="DF7">
        <v>2004</v>
      </c>
      <c r="DG7" s="8">
        <v>6109.7</v>
      </c>
      <c r="DH7" s="8">
        <f t="shared" si="1"/>
        <v>2300.3366734212268</v>
      </c>
      <c r="DI7" s="8">
        <f t="shared" si="2"/>
        <v>32591.541990855745</v>
      </c>
      <c r="DJ7" s="8">
        <f t="shared" si="3"/>
        <v>10558.78816</v>
      </c>
      <c r="DM7">
        <v>2002</v>
      </c>
      <c r="DN7" s="8">
        <f t="shared" si="29"/>
        <v>12581.674227408446</v>
      </c>
      <c r="DO7" s="11">
        <f t="shared" si="30"/>
        <v>133.72666666666666</v>
      </c>
      <c r="DP7" s="11">
        <f t="shared" si="31"/>
        <v>-16.273333333333341</v>
      </c>
      <c r="DQ7" s="8">
        <f>DG5</f>
        <v>6540</v>
      </c>
      <c r="DR7" s="8">
        <f>$DR$1*DQ7</f>
        <v>52320</v>
      </c>
      <c r="DS7" s="8">
        <f>DR7-((DP7/100)*DQ7)</f>
        <v>53384.275999999998</v>
      </c>
      <c r="DT7" s="8">
        <f>DN7-DS7</f>
        <v>-40802.601772591552</v>
      </c>
      <c r="DU7" s="8">
        <f>DA73</f>
        <v>16214.213744584646</v>
      </c>
      <c r="DV7" s="8">
        <f t="shared" si="33"/>
        <v>-16214.213744584646</v>
      </c>
      <c r="DX7">
        <f t="shared" si="17"/>
        <v>2003</v>
      </c>
      <c r="DY7" s="8">
        <f t="shared" si="18"/>
        <v>5004.707250145404</v>
      </c>
      <c r="DZ7" s="8">
        <f t="shared" si="19"/>
        <v>2652.8180029135897</v>
      </c>
      <c r="EA7" s="11">
        <f t="shared" si="20"/>
        <v>-57.464117524962802</v>
      </c>
      <c r="EB7" s="8"/>
      <c r="EC7">
        <f t="shared" si="21"/>
        <v>2003</v>
      </c>
      <c r="ED7" s="8">
        <f t="shared" si="22"/>
        <v>419</v>
      </c>
      <c r="EG7">
        <f t="shared" si="8"/>
        <v>2003</v>
      </c>
      <c r="EH7" s="8">
        <f t="shared" si="9"/>
        <v>2652.8180029135897</v>
      </c>
      <c r="EI7" s="8">
        <f t="shared" si="23"/>
        <v>21218.920994730048</v>
      </c>
      <c r="EJ7">
        <v>0</v>
      </c>
      <c r="EK7">
        <f t="shared" si="5"/>
        <v>2003</v>
      </c>
      <c r="EL7" s="8">
        <f t="shared" si="6"/>
        <v>419</v>
      </c>
      <c r="EM7" s="8">
        <f t="shared" si="10"/>
        <v>3020.4628946998191</v>
      </c>
    </row>
    <row r="8" spans="1:143" x14ac:dyDescent="0.25">
      <c r="A8" s="1">
        <v>2003</v>
      </c>
      <c r="B8" s="3">
        <v>14.97137581</v>
      </c>
      <c r="C8" s="3">
        <v>116.8217913</v>
      </c>
      <c r="D8" s="3">
        <v>59.63711911</v>
      </c>
      <c r="E8" s="3">
        <v>84.617728529999994</v>
      </c>
      <c r="F8" s="3">
        <v>2.8208679590000001</v>
      </c>
      <c r="G8" s="3">
        <v>31.602954759999999</v>
      </c>
      <c r="H8" s="3">
        <v>38.785964890000002</v>
      </c>
      <c r="I8" s="3">
        <v>43.372022100000002</v>
      </c>
      <c r="J8" s="3">
        <v>1.869344415</v>
      </c>
      <c r="K8" s="3">
        <v>62.343397959999997</v>
      </c>
      <c r="L8" s="3">
        <v>35.699168970000002</v>
      </c>
      <c r="M8" s="3">
        <v>74.654755280000003</v>
      </c>
      <c r="O8" s="11">
        <f t="shared" si="24"/>
        <v>180.794552084</v>
      </c>
      <c r="P8" s="11">
        <f t="shared" si="25"/>
        <v>107.584764475</v>
      </c>
      <c r="Q8" s="11">
        <f t="shared" si="26"/>
        <v>462.50646367000002</v>
      </c>
      <c r="AG8">
        <v>1998</v>
      </c>
      <c r="AH8">
        <v>6</v>
      </c>
      <c r="AI8" s="50">
        <v>7098.6639450872353</v>
      </c>
      <c r="AJ8" s="50">
        <v>0</v>
      </c>
      <c r="AS8">
        <v>2003</v>
      </c>
      <c r="AT8" s="8">
        <v>19307.682086256329</v>
      </c>
      <c r="AU8" s="8">
        <v>4605.0938751697477</v>
      </c>
      <c r="AV8" s="11">
        <f t="shared" si="27"/>
        <v>180.794552084</v>
      </c>
      <c r="AW8" s="8">
        <v>26394</v>
      </c>
      <c r="AX8">
        <f t="shared" si="11"/>
        <v>2003</v>
      </c>
      <c r="AY8">
        <f t="shared" si="12"/>
        <v>26394</v>
      </c>
      <c r="AZ8" s="8">
        <f t="shared" si="13"/>
        <v>24123.211629958227</v>
      </c>
      <c r="BX8" s="38">
        <v>2004</v>
      </c>
      <c r="BY8" s="11">
        <v>149.98999994913737</v>
      </c>
      <c r="BZ8" s="11">
        <v>57.7666668065389</v>
      </c>
      <c r="CA8" s="11">
        <v>142.09733337402344</v>
      </c>
      <c r="CB8" s="11">
        <v>29.03</v>
      </c>
      <c r="CC8" s="11">
        <v>25.571333300272624</v>
      </c>
      <c r="CD8" s="11">
        <v>8.6806666628519693</v>
      </c>
      <c r="CE8" s="11">
        <v>26.273333333333333</v>
      </c>
      <c r="CF8" s="11">
        <v>26.56</v>
      </c>
      <c r="CG8" s="11">
        <v>40.406666666666666</v>
      </c>
      <c r="CH8" s="11">
        <v>14.473333333333333</v>
      </c>
      <c r="CI8" s="11">
        <v>71.686666666666667</v>
      </c>
      <c r="CJ8" s="11">
        <v>188.62</v>
      </c>
      <c r="CK8" s="11">
        <v>781.15600009282423</v>
      </c>
      <c r="CL8" s="11">
        <f t="shared" si="14"/>
        <v>352.76666666666671</v>
      </c>
      <c r="CM8" s="11">
        <f t="shared" si="15"/>
        <v>141.96533329645791</v>
      </c>
      <c r="CN8" s="11"/>
      <c r="CO8" s="8">
        <v>2.9508993687108163</v>
      </c>
      <c r="CP8" s="8">
        <v>3533.0851929853798</v>
      </c>
      <c r="CQ8" s="56">
        <v>35977</v>
      </c>
      <c r="CR8" s="8">
        <v>0</v>
      </c>
      <c r="CS8" s="8">
        <v>6989.4724167787936</v>
      </c>
      <c r="CT8" s="8">
        <v>0</v>
      </c>
      <c r="CU8" s="8">
        <v>4340.5</v>
      </c>
      <c r="CV8" s="8"/>
      <c r="CW8" s="8"/>
      <c r="CX8" s="11"/>
      <c r="CY8" s="8"/>
      <c r="DA8">
        <v>2005</v>
      </c>
      <c r="DB8" s="8">
        <f>CW96</f>
        <v>8722.3318337701494</v>
      </c>
      <c r="DC8" s="8">
        <f t="shared" ref="DC8:DE8" si="35">CX96</f>
        <v>29282.004206921327</v>
      </c>
      <c r="DD8" s="8">
        <f t="shared" si="35"/>
        <v>0</v>
      </c>
      <c r="DE8" s="8">
        <f t="shared" si="35"/>
        <v>9242.0944999999974</v>
      </c>
      <c r="DF8">
        <v>2005</v>
      </c>
      <c r="DG8" s="8">
        <v>8262</v>
      </c>
      <c r="DH8" s="8">
        <f t="shared" si="1"/>
        <v>8722.3318337701494</v>
      </c>
      <c r="DI8" s="8">
        <f t="shared" si="2"/>
        <v>29282.004206921327</v>
      </c>
      <c r="DJ8" s="8">
        <f t="shared" si="3"/>
        <v>9242.0944999999974</v>
      </c>
      <c r="DM8">
        <v>2003</v>
      </c>
      <c r="DN8" s="8">
        <f t="shared" si="29"/>
        <v>7657.5252530589933</v>
      </c>
      <c r="DO8" s="11">
        <f t="shared" si="30"/>
        <v>422.29200023651123</v>
      </c>
      <c r="DP8" s="11">
        <f t="shared" si="31"/>
        <v>272.29200023651123</v>
      </c>
      <c r="DQ8" s="8">
        <f t="shared" ref="DQ8:DQ14" si="36">DG6</f>
        <v>419</v>
      </c>
      <c r="DR8" s="8">
        <f>$DU$1*DQ8</f>
        <v>4190</v>
      </c>
      <c r="DS8" s="8">
        <f t="shared" ref="DS8:DS14" si="37">DR8-((DP8/100)*DQ8)</f>
        <v>3049.0965190090183</v>
      </c>
      <c r="DT8" s="8">
        <f t="shared" ref="DT8:DT14" si="38">DN8-DS8</f>
        <v>4608.428734049975</v>
      </c>
      <c r="DU8" s="8">
        <f>DA85</f>
        <v>39951.466205025288</v>
      </c>
      <c r="DV8" s="8">
        <f t="shared" si="33"/>
        <v>4608.428734049975</v>
      </c>
      <c r="DX8">
        <f t="shared" si="17"/>
        <v>2004</v>
      </c>
      <c r="DY8" s="8">
        <f t="shared" si="18"/>
        <v>47758.758884905714</v>
      </c>
      <c r="DZ8" s="8">
        <f t="shared" si="19"/>
        <v>2300.3366734212268</v>
      </c>
      <c r="EA8" s="11">
        <f t="shared" si="20"/>
        <v>-33.283451052448356</v>
      </c>
      <c r="EB8" s="8"/>
      <c r="EC8">
        <f t="shared" si="21"/>
        <v>2004</v>
      </c>
      <c r="ED8" s="8">
        <f t="shared" si="22"/>
        <v>6109.7</v>
      </c>
      <c r="EG8">
        <f t="shared" si="8"/>
        <v>2004</v>
      </c>
      <c r="EH8" s="8">
        <f t="shared" si="9"/>
        <v>2300.3366734212268</v>
      </c>
      <c r="EI8" s="8">
        <f t="shared" si="23"/>
        <v>43150.330150855749</v>
      </c>
      <c r="EJ8">
        <v>0</v>
      </c>
      <c r="EK8">
        <f t="shared" si="5"/>
        <v>2004</v>
      </c>
      <c r="EL8" s="8">
        <f t="shared" si="6"/>
        <v>6109.7</v>
      </c>
      <c r="EM8" s="8">
        <f t="shared" si="10"/>
        <v>4535.9444288352124</v>
      </c>
    </row>
    <row r="9" spans="1:143" x14ac:dyDescent="0.25">
      <c r="A9" s="1">
        <v>2004</v>
      </c>
      <c r="B9" s="3">
        <v>203.3821792</v>
      </c>
      <c r="C9" s="3">
        <v>73.542289980000007</v>
      </c>
      <c r="D9" s="3">
        <v>75.228070239999994</v>
      </c>
      <c r="E9" s="3">
        <v>32.888550299999999</v>
      </c>
      <c r="F9" s="3">
        <v>24.181348119999999</v>
      </c>
      <c r="G9" s="3">
        <v>14.972668499999999</v>
      </c>
      <c r="H9" s="3">
        <v>30.554016619999999</v>
      </c>
      <c r="I9" s="3">
        <v>30.396121879999999</v>
      </c>
      <c r="J9" s="3">
        <v>60.722068329999999</v>
      </c>
      <c r="K9" s="3">
        <v>48.028624190000002</v>
      </c>
      <c r="L9" s="3">
        <v>101.35549399999999</v>
      </c>
      <c r="M9" s="3">
        <v>208.52908590000001</v>
      </c>
      <c r="O9" s="11">
        <f t="shared" si="24"/>
        <v>208.85484764</v>
      </c>
      <c r="P9" s="11">
        <f t="shared" si="25"/>
        <v>139.14681439999998</v>
      </c>
      <c r="Q9" s="11">
        <f t="shared" si="26"/>
        <v>421.14773779000001</v>
      </c>
      <c r="AG9">
        <v>1998</v>
      </c>
      <c r="AH9">
        <v>7</v>
      </c>
      <c r="AI9" s="50">
        <v>59671.649682726915</v>
      </c>
      <c r="AJ9" s="50">
        <v>17915.471923828121</v>
      </c>
      <c r="AS9">
        <v>2004</v>
      </c>
      <c r="AT9" s="8">
        <v>15587.23692364222</v>
      </c>
      <c r="AU9" s="8">
        <v>14537.273382782934</v>
      </c>
      <c r="AV9" s="11">
        <f t="shared" si="27"/>
        <v>208.85484764</v>
      </c>
      <c r="AW9" s="8">
        <v>35615</v>
      </c>
      <c r="AX9">
        <f t="shared" si="11"/>
        <v>2004</v>
      </c>
      <c r="AY9">
        <f t="shared" si="12"/>
        <v>35615</v>
      </c>
      <c r="AZ9" s="8">
        <f t="shared" si="13"/>
        <v>32194.326005250245</v>
      </c>
      <c r="BX9" s="38">
        <v>2005</v>
      </c>
      <c r="BY9" s="11">
        <v>55.353333333333332</v>
      </c>
      <c r="BZ9" s="11">
        <v>31.673333333333332</v>
      </c>
      <c r="CA9" s="11">
        <v>5.4333333333333336</v>
      </c>
      <c r="CB9" s="11">
        <v>0</v>
      </c>
      <c r="CC9" s="11">
        <v>31.066666666666666</v>
      </c>
      <c r="CD9" s="11">
        <v>178.7</v>
      </c>
      <c r="CE9" s="11">
        <v>10.199333349863688</v>
      </c>
      <c r="CF9" s="11">
        <v>18.593333365122476</v>
      </c>
      <c r="CG9" s="11">
        <v>23.83333329518636</v>
      </c>
      <c r="CH9" s="11">
        <v>56.192666676839195</v>
      </c>
      <c r="CI9" s="11">
        <v>99.464666595458979</v>
      </c>
      <c r="CJ9" s="11">
        <v>45.584000142415363</v>
      </c>
      <c r="CK9" s="11">
        <v>556.09400009155274</v>
      </c>
      <c r="CL9" s="11">
        <f t="shared" si="14"/>
        <v>283.43800006866451</v>
      </c>
      <c r="CM9" s="11">
        <f t="shared" si="15"/>
        <v>318.58533335367838</v>
      </c>
      <c r="CN9" s="11"/>
      <c r="CO9" s="8">
        <v>0.37297019883990312</v>
      </c>
      <c r="CP9" s="8">
        <v>1418.5175022125718</v>
      </c>
      <c r="CQ9" s="56">
        <v>36008</v>
      </c>
      <c r="CR9" s="8">
        <v>0</v>
      </c>
      <c r="CS9" s="8">
        <v>13765.911151409149</v>
      </c>
      <c r="CT9" s="8">
        <v>0</v>
      </c>
      <c r="CU9" s="8">
        <v>17.872</v>
      </c>
      <c r="CV9" s="8"/>
      <c r="CW9" s="8"/>
      <c r="CX9" s="11"/>
      <c r="CY9" s="8"/>
      <c r="DA9">
        <v>2006</v>
      </c>
      <c r="DB9" s="8">
        <f>CW108</f>
        <v>2613.238095979259</v>
      </c>
      <c r="DC9" s="8">
        <f t="shared" ref="DC9:DE9" si="39">CX108</f>
        <v>12402.372282788599</v>
      </c>
      <c r="DD9" s="8">
        <f t="shared" si="39"/>
        <v>0</v>
      </c>
      <c r="DE9" s="8">
        <f t="shared" si="39"/>
        <v>5874.9629999999997</v>
      </c>
      <c r="DF9">
        <v>2006</v>
      </c>
      <c r="DG9" s="8">
        <v>3288</v>
      </c>
      <c r="DH9" s="8">
        <f t="shared" si="1"/>
        <v>2613.238095979259</v>
      </c>
      <c r="DI9" s="8">
        <f t="shared" si="2"/>
        <v>12402.372282788599</v>
      </c>
      <c r="DJ9" s="8">
        <f t="shared" si="3"/>
        <v>5874.9629999999997</v>
      </c>
      <c r="DM9">
        <v>2004</v>
      </c>
      <c r="DN9" s="8">
        <f t="shared" si="29"/>
        <v>50059.095558326939</v>
      </c>
      <c r="DO9" s="11">
        <f t="shared" si="30"/>
        <v>352.76666666666671</v>
      </c>
      <c r="DP9" s="11">
        <f t="shared" si="31"/>
        <v>202.76666666666671</v>
      </c>
      <c r="DQ9" s="8">
        <f t="shared" si="36"/>
        <v>6109.7</v>
      </c>
      <c r="DR9" s="8">
        <f t="shared" ref="DR9:DR14" si="40">$DU$1*DQ9</f>
        <v>61097</v>
      </c>
      <c r="DS9" s="8">
        <f t="shared" si="37"/>
        <v>48708.564966666665</v>
      </c>
      <c r="DT9" s="8">
        <f t="shared" si="38"/>
        <v>1350.5305916602738</v>
      </c>
      <c r="DU9" s="8">
        <f>DA97</f>
        <v>25357.853824654056</v>
      </c>
      <c r="DV9" s="8">
        <f t="shared" si="33"/>
        <v>1350.5305916602738</v>
      </c>
      <c r="DX9">
        <f t="shared" si="17"/>
        <v>2005</v>
      </c>
      <c r="DY9" s="8">
        <f t="shared" si="18"/>
        <v>39874.629298581596</v>
      </c>
      <c r="DZ9" s="8">
        <f t="shared" si="19"/>
        <v>8722.3318337701494</v>
      </c>
      <c r="EA9" s="11">
        <f t="shared" si="20"/>
        <v>143.33654900477211</v>
      </c>
      <c r="EB9" s="8"/>
      <c r="EC9">
        <f t="shared" si="21"/>
        <v>2005</v>
      </c>
      <c r="ED9" s="8">
        <f t="shared" si="22"/>
        <v>8262</v>
      </c>
      <c r="EG9">
        <f t="shared" si="8"/>
        <v>2005</v>
      </c>
      <c r="EH9" s="8">
        <f t="shared" si="9"/>
        <v>8722.3318337701494</v>
      </c>
      <c r="EI9" s="8">
        <f t="shared" si="23"/>
        <v>38524.098706921322</v>
      </c>
      <c r="EJ9">
        <v>0</v>
      </c>
      <c r="EK9">
        <f t="shared" si="5"/>
        <v>2005</v>
      </c>
      <c r="EL9" s="8">
        <f t="shared" si="6"/>
        <v>8262</v>
      </c>
      <c r="EM9" s="8">
        <f t="shared" si="10"/>
        <v>7511.5583103874706</v>
      </c>
    </row>
    <row r="10" spans="1:143" x14ac:dyDescent="0.25">
      <c r="A10" s="1">
        <v>2005</v>
      </c>
      <c r="B10" s="3">
        <v>59.905817169999999</v>
      </c>
      <c r="C10" s="3">
        <v>40.43767313</v>
      </c>
      <c r="D10" s="3">
        <v>10.91966759</v>
      </c>
      <c r="E10" s="3">
        <v>0.90304709100000002</v>
      </c>
      <c r="F10" s="3">
        <v>21.610341640000001</v>
      </c>
      <c r="G10" s="3">
        <v>187.09325949999999</v>
      </c>
      <c r="H10" s="3">
        <v>21.454755309999999</v>
      </c>
      <c r="I10" s="3">
        <v>20.093721169999998</v>
      </c>
      <c r="J10" s="3">
        <v>52.282271510000001</v>
      </c>
      <c r="K10" s="3">
        <v>53.152816289999997</v>
      </c>
      <c r="L10" s="3">
        <v>100.0810711</v>
      </c>
      <c r="M10" s="3">
        <v>74.090027759999998</v>
      </c>
      <c r="O10" s="11">
        <f t="shared" si="24"/>
        <v>355.68716541999999</v>
      </c>
      <c r="P10" s="11">
        <f t="shared" si="25"/>
        <v>125.52880897</v>
      </c>
      <c r="Q10" s="11">
        <f t="shared" si="26"/>
        <v>393.76361972000007</v>
      </c>
      <c r="AG10">
        <v>1998</v>
      </c>
      <c r="AH10">
        <v>8</v>
      </c>
      <c r="AI10" s="51">
        <v>38643.685392109677</v>
      </c>
      <c r="AJ10" s="51">
        <v>7604.4016518592862</v>
      </c>
      <c r="AS10">
        <v>2005</v>
      </c>
      <c r="AT10" s="8">
        <v>41404.82236080373</v>
      </c>
      <c r="AU10" s="8">
        <v>19389.000976458185</v>
      </c>
      <c r="AV10" s="11">
        <f t="shared" si="27"/>
        <v>355.68716541999999</v>
      </c>
      <c r="AW10" s="8">
        <v>42153</v>
      </c>
      <c r="AX10">
        <f t="shared" si="11"/>
        <v>2005</v>
      </c>
      <c r="AY10">
        <f t="shared" si="12"/>
        <v>42153</v>
      </c>
      <c r="AZ10" s="8">
        <f t="shared" si="13"/>
        <v>57009.858729615866</v>
      </c>
      <c r="BX10" s="38">
        <v>2006</v>
      </c>
      <c r="BY10" s="11">
        <v>31.56466660817464</v>
      </c>
      <c r="BZ10" s="11">
        <v>69.170666732788092</v>
      </c>
      <c r="CA10" s="11">
        <v>37.653999989827476</v>
      </c>
      <c r="CB10" s="11">
        <v>40.948666521708169</v>
      </c>
      <c r="CC10" s="11">
        <v>0.04</v>
      </c>
      <c r="CD10" s="11">
        <v>34.003333371480309</v>
      </c>
      <c r="CE10" s="11">
        <v>62.452666447957355</v>
      </c>
      <c r="CF10" s="11">
        <v>5.6813333268960315</v>
      </c>
      <c r="CG10" s="11">
        <v>17.920000057220459</v>
      </c>
      <c r="CH10" s="11">
        <v>2.7353333449363708</v>
      </c>
      <c r="CI10" s="11">
        <v>37.184666798909504</v>
      </c>
      <c r="CJ10" s="11">
        <v>23.65133326212565</v>
      </c>
      <c r="CK10" s="11">
        <v>363.0066664620241</v>
      </c>
      <c r="CL10" s="11">
        <f t="shared" si="14"/>
        <v>176.25799988428753</v>
      </c>
      <c r="CM10" s="11">
        <f t="shared" si="15"/>
        <v>122.83266654849052</v>
      </c>
      <c r="CN10" s="11"/>
      <c r="CO10" s="8">
        <v>36.179082214832313</v>
      </c>
      <c r="CP10" s="8">
        <v>242.23117675781302</v>
      </c>
      <c r="CQ10" s="56">
        <v>36039</v>
      </c>
      <c r="CR10" s="8">
        <v>314.60408496856712</v>
      </c>
      <c r="CS10" s="8">
        <v>3168.1278905868535</v>
      </c>
      <c r="CT10" s="8">
        <v>0</v>
      </c>
      <c r="CU10" s="8">
        <v>25.95</v>
      </c>
      <c r="CV10" s="8"/>
      <c r="CW10" s="8"/>
      <c r="CX10" s="11"/>
      <c r="CY10" s="8"/>
      <c r="DA10">
        <v>2007</v>
      </c>
      <c r="DB10" s="8">
        <f>CW120</f>
        <v>2073.5781248766348</v>
      </c>
      <c r="DC10" s="8">
        <f t="shared" ref="DC10:DE10" si="41">CX120</f>
        <v>948.32947080303018</v>
      </c>
      <c r="DD10" s="8">
        <f t="shared" si="41"/>
        <v>0</v>
      </c>
      <c r="DE10" s="8">
        <f t="shared" si="41"/>
        <v>5500.4210000000003</v>
      </c>
      <c r="DF10">
        <v>2007</v>
      </c>
      <c r="DG10" s="8">
        <v>0</v>
      </c>
      <c r="DH10" s="8">
        <f t="shared" si="1"/>
        <v>2073.5781248766348</v>
      </c>
      <c r="DI10" s="8">
        <f t="shared" si="2"/>
        <v>948.32947080303018</v>
      </c>
      <c r="DJ10" s="8">
        <f t="shared" si="3"/>
        <v>5500.4210000000003</v>
      </c>
      <c r="DM10">
        <v>2005</v>
      </c>
      <c r="DN10" s="8">
        <f t="shared" si="29"/>
        <v>48596.961132351746</v>
      </c>
      <c r="DO10" s="11">
        <f t="shared" si="30"/>
        <v>283.43800006866451</v>
      </c>
      <c r="DP10" s="11">
        <f t="shared" si="31"/>
        <v>133.43800006866451</v>
      </c>
      <c r="DQ10" s="8">
        <f t="shared" si="36"/>
        <v>8262</v>
      </c>
      <c r="DR10" s="8">
        <f t="shared" si="40"/>
        <v>82620</v>
      </c>
      <c r="DS10" s="8">
        <f t="shared" si="37"/>
        <v>71595.352434326938</v>
      </c>
      <c r="DT10" s="8">
        <f t="shared" si="38"/>
        <v>-22998.391301975193</v>
      </c>
      <c r="DU10" s="8">
        <f>DA109</f>
        <v>18090.844523947955</v>
      </c>
      <c r="DV10" s="8">
        <f t="shared" si="33"/>
        <v>-18090.844523947955</v>
      </c>
      <c r="DX10">
        <f t="shared" si="17"/>
        <v>2006</v>
      </c>
      <c r="DY10" s="8">
        <f t="shared" si="18"/>
        <v>186.49075884064405</v>
      </c>
      <c r="DZ10" s="8">
        <f t="shared" si="19"/>
        <v>2613.238095979259</v>
      </c>
      <c r="EA10" s="11">
        <f t="shared" si="20"/>
        <v>-52.416117800415748</v>
      </c>
      <c r="EB10" s="8"/>
      <c r="EC10">
        <f t="shared" si="21"/>
        <v>2006</v>
      </c>
      <c r="ED10" s="8">
        <f t="shared" si="22"/>
        <v>3288</v>
      </c>
      <c r="EG10">
        <f t="shared" si="8"/>
        <v>2006</v>
      </c>
      <c r="EH10" s="8">
        <f t="shared" si="9"/>
        <v>2613.238095979259</v>
      </c>
      <c r="EI10" s="8">
        <f t="shared" si="23"/>
        <v>18277.335282788597</v>
      </c>
      <c r="EJ10">
        <v>0</v>
      </c>
      <c r="EK10">
        <f t="shared" si="5"/>
        <v>2006</v>
      </c>
      <c r="EL10" s="8">
        <f t="shared" si="6"/>
        <v>3288</v>
      </c>
      <c r="EM10" s="8">
        <f t="shared" si="10"/>
        <v>2772.1058529396528</v>
      </c>
    </row>
    <row r="11" spans="1:143" x14ac:dyDescent="0.25">
      <c r="A11" s="1">
        <v>2006</v>
      </c>
      <c r="B11" s="3">
        <v>74.322806990000004</v>
      </c>
      <c r="C11" s="3">
        <v>109.28310260000001</v>
      </c>
      <c r="D11" s="3">
        <v>35.986611269999997</v>
      </c>
      <c r="E11" s="3">
        <v>34.997414560000003</v>
      </c>
      <c r="F11" s="3">
        <v>1.5168051730000001</v>
      </c>
      <c r="G11" s="3">
        <v>51.402400780000001</v>
      </c>
      <c r="H11" s="3">
        <v>62.336749709999999</v>
      </c>
      <c r="I11" s="3">
        <v>11.970637119999999</v>
      </c>
      <c r="J11" s="3">
        <v>35.807109990000001</v>
      </c>
      <c r="K11" s="3">
        <v>15.01089567</v>
      </c>
      <c r="L11" s="3">
        <v>60.35290861</v>
      </c>
      <c r="M11" s="3">
        <v>26.211542000000001</v>
      </c>
      <c r="O11" s="11">
        <f t="shared" si="24"/>
        <v>178.04459844300001</v>
      </c>
      <c r="P11" s="11">
        <f t="shared" si="25"/>
        <v>62.788642780000004</v>
      </c>
      <c r="Q11" s="11">
        <f t="shared" si="26"/>
        <v>266.09833811999999</v>
      </c>
      <c r="AG11">
        <v>1998</v>
      </c>
      <c r="AH11">
        <v>9</v>
      </c>
      <c r="AI11" s="51">
        <v>763.87987923622131</v>
      </c>
      <c r="AJ11" s="51">
        <v>19302.145874023441</v>
      </c>
      <c r="AS11">
        <v>2006</v>
      </c>
      <c r="AT11" s="8">
        <v>18168.336133612316</v>
      </c>
      <c r="AU11" s="8">
        <v>0</v>
      </c>
      <c r="AV11" s="11">
        <f t="shared" si="27"/>
        <v>178.04459844300001</v>
      </c>
      <c r="AW11" s="8">
        <v>23811</v>
      </c>
      <c r="AX11">
        <f t="shared" si="11"/>
        <v>2006</v>
      </c>
      <c r="AY11">
        <f t="shared" si="12"/>
        <v>23811</v>
      </c>
      <c r="AZ11" s="8">
        <f t="shared" si="13"/>
        <v>19844.594169562959</v>
      </c>
      <c r="BX11" s="38">
        <v>2007</v>
      </c>
      <c r="BY11" s="11">
        <v>32.17733331044515</v>
      </c>
      <c r="BZ11" s="11">
        <v>61.381999791463215</v>
      </c>
      <c r="CA11" s="11">
        <v>21.862666721343995</v>
      </c>
      <c r="CB11" s="11">
        <v>25.017999979654949</v>
      </c>
      <c r="CC11" s="11">
        <v>46.367999954223635</v>
      </c>
      <c r="CD11" s="11">
        <v>59.714666697184242</v>
      </c>
      <c r="CE11" s="11">
        <v>0.16</v>
      </c>
      <c r="CF11" s="11">
        <v>16.561333344777424</v>
      </c>
      <c r="CG11" s="11">
        <v>6.62</v>
      </c>
      <c r="CH11" s="11">
        <v>38.206666666666663</v>
      </c>
      <c r="CI11" s="11">
        <v>37.173333333333332</v>
      </c>
      <c r="CJ11" s="11">
        <v>149.60666666666665</v>
      </c>
      <c r="CK11" s="11">
        <v>494.85066646575933</v>
      </c>
      <c r="CL11" s="11">
        <f t="shared" si="14"/>
        <v>379.48</v>
      </c>
      <c r="CM11" s="11">
        <f t="shared" si="15"/>
        <v>167.63066666285198</v>
      </c>
      <c r="CN11" s="11"/>
      <c r="CO11" s="8">
        <v>89.579210954904568</v>
      </c>
      <c r="CP11" s="8">
        <v>84.524900212173904</v>
      </c>
      <c r="CQ11" s="56">
        <v>36069</v>
      </c>
      <c r="CR11" s="8">
        <v>149.48281073570251</v>
      </c>
      <c r="CS11" s="8">
        <v>5810.1212365925312</v>
      </c>
      <c r="CT11" s="8">
        <v>0</v>
      </c>
      <c r="CU11" s="8">
        <v>444.94</v>
      </c>
      <c r="CV11" s="8"/>
      <c r="CW11" s="8"/>
      <c r="CX11" s="11"/>
      <c r="CY11" s="8"/>
      <c r="DA11">
        <v>2008</v>
      </c>
      <c r="DB11" s="8">
        <f>CW132</f>
        <v>4735.0007406533932</v>
      </c>
      <c r="DC11" s="8">
        <f t="shared" ref="DC11:DE11" si="42">CX132</f>
        <v>17478.105131988461</v>
      </c>
      <c r="DD11" s="8">
        <f t="shared" si="42"/>
        <v>0</v>
      </c>
      <c r="DE11" s="8">
        <f t="shared" si="42"/>
        <v>12906.944</v>
      </c>
      <c r="DF11">
        <v>2008</v>
      </c>
      <c r="DG11" s="8">
        <v>326.43000000000006</v>
      </c>
      <c r="DH11" s="8">
        <f t="shared" si="1"/>
        <v>4735.0007406533932</v>
      </c>
      <c r="DI11" s="8">
        <f t="shared" si="2"/>
        <v>17478.105131988461</v>
      </c>
      <c r="DJ11" s="8">
        <f t="shared" si="3"/>
        <v>12906.944</v>
      </c>
      <c r="DM11">
        <v>2006</v>
      </c>
      <c r="DN11" s="8">
        <f t="shared" si="29"/>
        <v>2799.7288548199031</v>
      </c>
      <c r="DO11" s="11">
        <f t="shared" si="30"/>
        <v>176.25799988428753</v>
      </c>
      <c r="DP11" s="11">
        <f t="shared" si="31"/>
        <v>26.257999884287528</v>
      </c>
      <c r="DQ11" s="8">
        <f t="shared" si="36"/>
        <v>3288</v>
      </c>
      <c r="DR11" s="8">
        <f t="shared" si="40"/>
        <v>32880</v>
      </c>
      <c r="DS11" s="8">
        <f t="shared" si="37"/>
        <v>32016.636963804627</v>
      </c>
      <c r="DT11" s="8">
        <f t="shared" si="38"/>
        <v>-29216.908108984724</v>
      </c>
      <c r="DU11" s="8">
        <f>DA121</f>
        <v>4013.9586141813024</v>
      </c>
      <c r="DV11" s="8">
        <f t="shared" si="33"/>
        <v>-4013.9586141813024</v>
      </c>
      <c r="DX11">
        <f t="shared" si="17"/>
        <v>2007</v>
      </c>
      <c r="DY11" s="8">
        <f t="shared" si="18"/>
        <v>2434.7918566217272</v>
      </c>
      <c r="DZ11" s="8">
        <f t="shared" si="19"/>
        <v>2073.5781248766348</v>
      </c>
      <c r="EA11" s="11">
        <f t="shared" si="20"/>
        <v>-7.6181176860542905</v>
      </c>
      <c r="EB11" s="8"/>
      <c r="EC11">
        <f t="shared" si="21"/>
        <v>2007</v>
      </c>
      <c r="ED11" s="8">
        <f t="shared" si="22"/>
        <v>0</v>
      </c>
      <c r="EG11">
        <f t="shared" si="8"/>
        <v>2007</v>
      </c>
      <c r="EH11" s="8">
        <f t="shared" si="9"/>
        <v>2073.5781248766348</v>
      </c>
      <c r="EI11" s="8">
        <f t="shared" si="23"/>
        <v>6448.7504708030301</v>
      </c>
      <c r="EJ11">
        <v>0</v>
      </c>
      <c r="EK11">
        <f t="shared" si="5"/>
        <v>2007</v>
      </c>
      <c r="EL11" s="8">
        <f t="shared" si="6"/>
        <v>0</v>
      </c>
      <c r="EM11" s="8">
        <f t="shared" si="10"/>
        <v>1575.8898122261235</v>
      </c>
    </row>
    <row r="12" spans="1:143" x14ac:dyDescent="0.25">
      <c r="A12" s="1">
        <v>2007</v>
      </c>
      <c r="B12" s="3">
        <v>37.628901249999998</v>
      </c>
      <c r="C12" s="3">
        <v>87.660849580000004</v>
      </c>
      <c r="D12" s="3">
        <v>54.244136679999997</v>
      </c>
      <c r="E12" s="3">
        <v>42.143028569999998</v>
      </c>
      <c r="F12" s="3">
        <v>36.790766380000001</v>
      </c>
      <c r="G12" s="3">
        <v>74.664173559999995</v>
      </c>
      <c r="H12" s="3">
        <v>5.5826408130000003</v>
      </c>
      <c r="I12" s="3">
        <v>47.391043400000001</v>
      </c>
      <c r="J12" s="3">
        <v>3.334256694</v>
      </c>
      <c r="K12" s="3">
        <v>48.163434899999999</v>
      </c>
      <c r="L12" s="3">
        <v>58.209602949999997</v>
      </c>
      <c r="M12" s="3">
        <v>124.5863343</v>
      </c>
      <c r="O12" s="11">
        <f t="shared" si="24"/>
        <v>215.92631574699999</v>
      </c>
      <c r="P12" s="11">
        <f t="shared" si="25"/>
        <v>98.888734994000004</v>
      </c>
      <c r="Q12" s="11">
        <f t="shared" si="26"/>
        <v>431.89750700499997</v>
      </c>
      <c r="AG12">
        <v>1998</v>
      </c>
      <c r="AH12">
        <v>10</v>
      </c>
      <c r="AI12" s="51">
        <v>10862.448972510991</v>
      </c>
      <c r="AJ12" s="51">
        <v>0</v>
      </c>
      <c r="AS12">
        <v>2007</v>
      </c>
      <c r="AT12" s="8">
        <v>10752.400651395204</v>
      </c>
      <c r="AU12" s="8">
        <v>0</v>
      </c>
      <c r="AV12" s="11">
        <f t="shared" si="27"/>
        <v>215.92631574699999</v>
      </c>
      <c r="AW12" s="8">
        <v>18458</v>
      </c>
      <c r="AX12">
        <f t="shared" si="11"/>
        <v>2007</v>
      </c>
      <c r="AY12">
        <f t="shared" si="12"/>
        <v>18458</v>
      </c>
      <c r="AZ12" s="8">
        <f t="shared" si="13"/>
        <v>19221.158909171769</v>
      </c>
      <c r="BX12" s="38">
        <v>2008</v>
      </c>
      <c r="BY12" s="11">
        <v>69.86</v>
      </c>
      <c r="BZ12" s="11">
        <v>118.97333333333333</v>
      </c>
      <c r="CA12" s="11">
        <v>3.8666666666666667</v>
      </c>
      <c r="CB12" s="11">
        <v>2.8</v>
      </c>
      <c r="CC12" s="11">
        <v>6.5533333333333337</v>
      </c>
      <c r="CD12" s="11">
        <v>56.293333333333337</v>
      </c>
      <c r="CE12" s="11">
        <v>33.207333335876463</v>
      </c>
      <c r="CF12" s="11">
        <v>18.692666606903074</v>
      </c>
      <c r="CG12" s="11">
        <v>55.333333257039385</v>
      </c>
      <c r="CH12" s="11">
        <v>39.084666709899899</v>
      </c>
      <c r="CI12" s="11">
        <v>93.366666564941411</v>
      </c>
      <c r="CJ12" s="11">
        <v>47.424000040690103</v>
      </c>
      <c r="CK12" s="11">
        <v>545.45533318201706</v>
      </c>
      <c r="CL12" s="11">
        <f t="shared" si="14"/>
        <v>297.8846662302812</v>
      </c>
      <c r="CM12" s="11">
        <f t="shared" si="15"/>
        <v>209.16466657638549</v>
      </c>
      <c r="CN12" s="11"/>
      <c r="CO12" s="8">
        <v>479.83721208572388</v>
      </c>
      <c r="CP12" s="8">
        <v>72.630914845404888</v>
      </c>
      <c r="CQ12" s="56">
        <v>36100</v>
      </c>
      <c r="CR12" s="8">
        <v>722.31607580184959</v>
      </c>
      <c r="CS12" s="8">
        <v>4105.5345809906721</v>
      </c>
      <c r="CT12" s="8">
        <v>0</v>
      </c>
      <c r="CU12" s="8">
        <v>377.83</v>
      </c>
      <c r="CV12" s="56">
        <f>CQ12</f>
        <v>36100</v>
      </c>
      <c r="CW12" s="8">
        <f>SUM(CR8:CR16)</f>
        <v>7068.9793158266712</v>
      </c>
      <c r="CX12" s="8">
        <f>SUM(CS2:CS11)</f>
        <v>35565.304978629341</v>
      </c>
      <c r="CY12" s="8">
        <f t="shared" ref="CY12:CZ12" si="43">SUM(CT2:CT11)</f>
        <v>0</v>
      </c>
      <c r="CZ12" s="8">
        <f t="shared" si="43"/>
        <v>6788.8710999999994</v>
      </c>
      <c r="DA12">
        <v>2009</v>
      </c>
      <c r="DB12" s="8">
        <f>CW144</f>
        <v>359.00099357303702</v>
      </c>
      <c r="DC12" s="8">
        <f t="shared" ref="DC12:DE12" si="44">CX144</f>
        <v>28084.265464135973</v>
      </c>
      <c r="DD12" s="8">
        <f t="shared" si="44"/>
        <v>0</v>
      </c>
      <c r="DE12" s="8">
        <f t="shared" si="44"/>
        <v>8502.5765999999985</v>
      </c>
      <c r="DF12">
        <v>2009</v>
      </c>
      <c r="DG12" s="8">
        <v>1619.08</v>
      </c>
      <c r="DH12" s="8">
        <f t="shared" si="1"/>
        <v>359.00099357303702</v>
      </c>
      <c r="DI12" s="8">
        <f t="shared" si="2"/>
        <v>28084.265464135973</v>
      </c>
      <c r="DJ12" s="8">
        <f t="shared" si="3"/>
        <v>8502.5765999999985</v>
      </c>
      <c r="DM12">
        <v>2007</v>
      </c>
      <c r="DN12" s="8">
        <f t="shared" si="29"/>
        <v>4508.369981498362</v>
      </c>
      <c r="DO12" s="11">
        <f t="shared" si="30"/>
        <v>379.48</v>
      </c>
      <c r="DP12" s="11">
        <f t="shared" si="31"/>
        <v>229.48000000000002</v>
      </c>
      <c r="DQ12" s="8">
        <f t="shared" si="36"/>
        <v>0</v>
      </c>
      <c r="DR12" s="8">
        <f t="shared" si="40"/>
        <v>0</v>
      </c>
      <c r="DS12" s="8">
        <f t="shared" si="37"/>
        <v>0</v>
      </c>
      <c r="DT12" s="8">
        <f t="shared" si="38"/>
        <v>4508.369981498362</v>
      </c>
      <c r="DU12" s="8">
        <f>DA133</f>
        <v>29511.603974651869</v>
      </c>
      <c r="DV12" s="8">
        <f t="shared" si="33"/>
        <v>4508.369981498362</v>
      </c>
      <c r="DX12">
        <f t="shared" si="17"/>
        <v>2008</v>
      </c>
      <c r="DY12" s="8">
        <f t="shared" si="18"/>
        <v>34893.419113486831</v>
      </c>
      <c r="DZ12" s="8">
        <f t="shared" si="19"/>
        <v>4735.0007406533932</v>
      </c>
      <c r="EA12" s="11">
        <f t="shared" si="20"/>
        <v>33.915882227479216</v>
      </c>
      <c r="EB12" s="8"/>
      <c r="EC12">
        <f t="shared" si="21"/>
        <v>2008</v>
      </c>
      <c r="ED12" s="8">
        <f t="shared" si="22"/>
        <v>326.43000000000006</v>
      </c>
      <c r="EG12">
        <f t="shared" si="8"/>
        <v>2008</v>
      </c>
      <c r="EH12" s="8">
        <f t="shared" si="9"/>
        <v>4735.0007406533932</v>
      </c>
      <c r="EI12" s="8">
        <f t="shared" si="23"/>
        <v>30385.04913198846</v>
      </c>
      <c r="EJ12">
        <v>0</v>
      </c>
      <c r="EK12">
        <f t="shared" si="5"/>
        <v>2008</v>
      </c>
      <c r="EL12" s="8">
        <f t="shared" si="6"/>
        <v>326.43000000000006</v>
      </c>
      <c r="EM12" s="8">
        <f t="shared" si="10"/>
        <v>4811.2656689838313</v>
      </c>
    </row>
    <row r="13" spans="1:143" x14ac:dyDescent="0.25">
      <c r="A13" s="1">
        <v>2008</v>
      </c>
      <c r="B13" s="3">
        <v>105.8134811</v>
      </c>
      <c r="C13" s="3">
        <v>140.6140351</v>
      </c>
      <c r="D13" s="3">
        <v>2.674053555</v>
      </c>
      <c r="E13" s="3">
        <v>13.022160660000001</v>
      </c>
      <c r="F13" s="3">
        <v>14.34441367</v>
      </c>
      <c r="G13" s="3">
        <v>48.853185600000003</v>
      </c>
      <c r="H13" s="3">
        <v>40.516528170000001</v>
      </c>
      <c r="I13" s="3">
        <v>15.949492129999999</v>
      </c>
      <c r="J13" s="3">
        <v>62.523176360000001</v>
      </c>
      <c r="K13" s="3">
        <v>43.798153290000002</v>
      </c>
      <c r="L13" s="3">
        <v>146.5152353</v>
      </c>
      <c r="M13" s="3">
        <v>68.815974089999997</v>
      </c>
      <c r="O13" s="11">
        <f t="shared" si="24"/>
        <v>225.98494921999998</v>
      </c>
      <c r="P13" s="11">
        <f t="shared" si="25"/>
        <v>122.27082178000001</v>
      </c>
      <c r="Q13" s="11">
        <f t="shared" si="26"/>
        <v>412.40987976700001</v>
      </c>
      <c r="AG13">
        <v>1998</v>
      </c>
      <c r="AH13">
        <v>11</v>
      </c>
      <c r="AI13" s="51">
        <v>10933.407357505872</v>
      </c>
      <c r="AJ13" s="51">
        <v>0</v>
      </c>
      <c r="AS13">
        <v>2008</v>
      </c>
      <c r="AT13" s="8">
        <v>14041.042824413627</v>
      </c>
      <c r="AU13" s="8">
        <v>0</v>
      </c>
      <c r="AV13" s="11">
        <f t="shared" si="27"/>
        <v>225.98494921999998</v>
      </c>
      <c r="AW13" s="8">
        <v>20228</v>
      </c>
      <c r="AX13">
        <f t="shared" si="11"/>
        <v>2008</v>
      </c>
      <c r="AY13">
        <f t="shared" si="12"/>
        <v>20228</v>
      </c>
      <c r="AZ13" s="8">
        <f t="shared" si="13"/>
        <v>21313.956173189858</v>
      </c>
      <c r="BX13" s="38">
        <v>2009</v>
      </c>
      <c r="BY13" s="11">
        <v>55.24</v>
      </c>
      <c r="BZ13" s="11">
        <v>100.95133295694987</v>
      </c>
      <c r="CA13" s="11">
        <v>0.90266666769981385</v>
      </c>
      <c r="CB13" s="11">
        <v>39.358666788736976</v>
      </c>
      <c r="CC13" s="11">
        <v>65.19666628519694</v>
      </c>
      <c r="CD13" s="11">
        <v>15.476666685740152</v>
      </c>
      <c r="CE13" s="11">
        <v>9.0813333956400548</v>
      </c>
      <c r="CF13" s="11">
        <v>2.0553333373864491</v>
      </c>
      <c r="CG13" s="11">
        <v>22.834000027974447</v>
      </c>
      <c r="CH13" s="11">
        <v>32.087999890645342</v>
      </c>
      <c r="CI13" s="11">
        <v>3.3519999821980795</v>
      </c>
      <c r="CJ13" s="11">
        <v>79.158666687011717</v>
      </c>
      <c r="CK13" s="11">
        <v>425.69533270517985</v>
      </c>
      <c r="CL13" s="11">
        <f t="shared" si="14"/>
        <v>296.70666726430255</v>
      </c>
      <c r="CM13" s="11">
        <f t="shared" si="15"/>
        <v>146.73199962258337</v>
      </c>
      <c r="CN13" s="11"/>
      <c r="CO13" s="8">
        <v>2364.680388689043</v>
      </c>
      <c r="CP13" s="8">
        <v>0.61021022796630919</v>
      </c>
      <c r="CQ13" s="56">
        <v>36130</v>
      </c>
      <c r="CR13" s="8">
        <v>1125.9215127344944</v>
      </c>
      <c r="CS13" s="8">
        <v>549.57319596409798</v>
      </c>
      <c r="CT13" s="8">
        <v>0</v>
      </c>
      <c r="CU13" s="8">
        <v>1735.6</v>
      </c>
      <c r="CV13" s="8"/>
      <c r="CW13" s="8"/>
      <c r="CX13" s="11"/>
      <c r="CY13" s="8"/>
      <c r="DA13">
        <v>2010</v>
      </c>
      <c r="DB13" s="8">
        <f>CW156</f>
        <v>5826.6301958357708</v>
      </c>
      <c r="DC13" s="8">
        <f t="shared" ref="DC13:DE13" si="45">CX156</f>
        <v>55083.947948455971</v>
      </c>
      <c r="DD13" s="8">
        <f t="shared" si="45"/>
        <v>0</v>
      </c>
      <c r="DE13" s="8">
        <f t="shared" si="45"/>
        <v>15567.510100000001</v>
      </c>
      <c r="DF13">
        <v>2010</v>
      </c>
      <c r="DG13" s="8">
        <v>5162.46</v>
      </c>
      <c r="DH13" s="8">
        <f t="shared" si="1"/>
        <v>5826.6301958357708</v>
      </c>
      <c r="DI13" s="8">
        <f t="shared" si="2"/>
        <v>55083.947948455971</v>
      </c>
      <c r="DJ13" s="8">
        <f t="shared" si="3"/>
        <v>15567.510100000001</v>
      </c>
      <c r="DM13">
        <v>2008</v>
      </c>
      <c r="DN13" s="8">
        <f t="shared" si="29"/>
        <v>39628.419854140222</v>
      </c>
      <c r="DO13" s="11">
        <f t="shared" si="30"/>
        <v>297.8846662302812</v>
      </c>
      <c r="DP13" s="11">
        <f t="shared" si="31"/>
        <v>147.8846662302812</v>
      </c>
      <c r="DQ13" s="8">
        <f t="shared" si="36"/>
        <v>326.43000000000006</v>
      </c>
      <c r="DR13" s="8">
        <f t="shared" si="40"/>
        <v>3264.3000000000006</v>
      </c>
      <c r="DS13" s="8">
        <f t="shared" si="37"/>
        <v>2781.5600840244938</v>
      </c>
      <c r="DT13" s="8">
        <f t="shared" si="38"/>
        <v>36846.859770115727</v>
      </c>
      <c r="DU13" s="8">
        <f>DA145</f>
        <v>29908.11073635277</v>
      </c>
      <c r="DV13" s="8">
        <f t="shared" si="33"/>
        <v>36846.859770115727</v>
      </c>
      <c r="EG13">
        <f t="shared" si="8"/>
        <v>2009</v>
      </c>
      <c r="EH13" s="8">
        <f t="shared" si="9"/>
        <v>359.00099357303702</v>
      </c>
      <c r="EI13" s="8">
        <f t="shared" si="23"/>
        <v>36586.84206413597</v>
      </c>
      <c r="EJ13">
        <v>0</v>
      </c>
      <c r="EK13">
        <f t="shared" si="5"/>
        <v>2009</v>
      </c>
      <c r="EL13" s="8">
        <f t="shared" si="6"/>
        <v>1619.08</v>
      </c>
      <c r="EM13" s="8">
        <f t="shared" si="10"/>
        <v>3019.8206573204097</v>
      </c>
    </row>
    <row r="14" spans="1:143" x14ac:dyDescent="0.25">
      <c r="A14" s="1">
        <v>2009</v>
      </c>
      <c r="B14" s="3">
        <v>67.763896549999998</v>
      </c>
      <c r="C14" s="3">
        <v>122.3674054</v>
      </c>
      <c r="D14" s="3">
        <v>6.9473684269999998</v>
      </c>
      <c r="E14" s="3">
        <v>46.272668500000002</v>
      </c>
      <c r="F14" s="3">
        <v>47.079778339999997</v>
      </c>
      <c r="G14" s="3">
        <v>27.559741450000001</v>
      </c>
      <c r="H14" s="3">
        <v>17.530101550000001</v>
      </c>
      <c r="I14" s="3">
        <v>6.5601108110000004</v>
      </c>
      <c r="J14" s="3">
        <v>31.462142190000002</v>
      </c>
      <c r="K14" s="3">
        <v>40.370544809999998</v>
      </c>
      <c r="L14" s="3">
        <v>20.786149590000001</v>
      </c>
      <c r="M14" s="3">
        <v>94.367220669999995</v>
      </c>
      <c r="O14" s="11">
        <f t="shared" si="24"/>
        <v>170.56241915099997</v>
      </c>
      <c r="P14" s="11">
        <f t="shared" si="25"/>
        <v>78.392797811000008</v>
      </c>
      <c r="Q14" s="11">
        <f t="shared" si="26"/>
        <v>314.67894759000001</v>
      </c>
      <c r="AG14">
        <v>1998</v>
      </c>
      <c r="AH14">
        <v>12</v>
      </c>
      <c r="AI14" s="51">
        <v>50260.420064538739</v>
      </c>
      <c r="AJ14" s="51">
        <v>0</v>
      </c>
      <c r="AS14">
        <v>2009</v>
      </c>
      <c r="AT14" s="8">
        <v>4677.1610972951157</v>
      </c>
      <c r="AU14" s="8">
        <v>0</v>
      </c>
      <c r="AV14" s="11">
        <f t="shared" si="27"/>
        <v>170.56241915099997</v>
      </c>
      <c r="AW14" s="8">
        <v>23900</v>
      </c>
      <c r="AX14">
        <f t="shared" si="11"/>
        <v>2009</v>
      </c>
      <c r="AY14">
        <f t="shared" si="12"/>
        <v>23900</v>
      </c>
      <c r="AZ14" s="8">
        <f t="shared" si="13"/>
        <v>13543.814703214444</v>
      </c>
      <c r="BX14" s="38">
        <v>2010</v>
      </c>
      <c r="BY14" s="11">
        <v>57.666000188191731</v>
      </c>
      <c r="BZ14" s="11">
        <v>89.950666859944661</v>
      </c>
      <c r="CA14" s="11">
        <v>66.579333546956377</v>
      </c>
      <c r="CB14" s="11">
        <v>23.767333386739097</v>
      </c>
      <c r="CC14" s="11">
        <v>26.513333409627279</v>
      </c>
      <c r="CD14" s="11">
        <v>10.806666688919067</v>
      </c>
      <c r="CE14" s="11">
        <v>78.731999867757168</v>
      </c>
      <c r="CF14" s="11">
        <v>43.044666773478191</v>
      </c>
      <c r="CG14" s="11">
        <v>42.038666712443032</v>
      </c>
      <c r="CH14" s="11">
        <v>60.692666676839195</v>
      </c>
      <c r="CI14" s="11">
        <v>127.11333333333333</v>
      </c>
      <c r="CJ14" s="11">
        <v>101.27466644287109</v>
      </c>
      <c r="CK14" s="11">
        <v>728.17933388710026</v>
      </c>
      <c r="CL14" s="11">
        <f t="shared" si="14"/>
        <v>337.83866625467937</v>
      </c>
      <c r="CM14" s="11">
        <f t="shared" si="15"/>
        <v>261.82800012906398</v>
      </c>
      <c r="CN14" s="11"/>
      <c r="CO14" s="8">
        <v>5067.7656614542011</v>
      </c>
      <c r="CP14" s="8">
        <v>25.982405653595947</v>
      </c>
      <c r="CQ14" s="56">
        <v>36161</v>
      </c>
      <c r="CR14" s="8">
        <v>1306.2396796742689</v>
      </c>
      <c r="CS14" s="8">
        <v>256.61536549311137</v>
      </c>
      <c r="CT14" s="8">
        <v>0</v>
      </c>
      <c r="CU14" s="8">
        <v>203.24</v>
      </c>
      <c r="CV14" s="8"/>
      <c r="CW14" s="8"/>
      <c r="CX14" s="11"/>
      <c r="CY14" s="8"/>
      <c r="DA14">
        <v>2011</v>
      </c>
      <c r="DB14" s="8">
        <f>CW168</f>
        <v>3508.0077786570191</v>
      </c>
      <c r="DC14" s="8">
        <f t="shared" ref="DC14:DE14" si="46">CX168</f>
        <v>44884.613707088276</v>
      </c>
      <c r="DD14" s="8">
        <f t="shared" si="46"/>
        <v>0</v>
      </c>
      <c r="DE14" s="8">
        <f t="shared" si="46"/>
        <v>14217.825000000001</v>
      </c>
      <c r="DF14">
        <v>2011</v>
      </c>
      <c r="DG14" s="8">
        <v>2089.2599999999998</v>
      </c>
      <c r="DH14" s="8">
        <f t="shared" si="1"/>
        <v>3508.0077786570191</v>
      </c>
      <c r="DI14" s="8">
        <f t="shared" si="2"/>
        <v>44884.613707088276</v>
      </c>
      <c r="DJ14" s="8">
        <f t="shared" si="3"/>
        <v>14217.825000000001</v>
      </c>
      <c r="DM14">
        <v>2009</v>
      </c>
      <c r="DN14" s="8">
        <f t="shared" si="29"/>
        <v>73792.702827824745</v>
      </c>
      <c r="DO14" s="11">
        <f t="shared" si="30"/>
        <v>296.70666726430255</v>
      </c>
      <c r="DP14" s="11">
        <f t="shared" si="31"/>
        <v>146.70666726430255</v>
      </c>
      <c r="DQ14" s="8">
        <f t="shared" si="36"/>
        <v>1619.08</v>
      </c>
      <c r="DR14" s="8">
        <f t="shared" si="40"/>
        <v>16190.8</v>
      </c>
      <c r="DS14" s="8">
        <f t="shared" si="37"/>
        <v>13815.501691657129</v>
      </c>
      <c r="DT14" s="8">
        <f t="shared" si="38"/>
        <v>59977.201136167612</v>
      </c>
      <c r="DU14" s="8">
        <f>DA157</f>
        <v>30718.254518864116</v>
      </c>
      <c r="DV14" s="8">
        <f t="shared" si="33"/>
        <v>59977.201136167612</v>
      </c>
      <c r="DY14">
        <f t="array" ref="DY14:DZ18">LINEST(ED3:ED12,DY3:DZ12,0,1)</f>
        <v>0.57138362075501381</v>
      </c>
      <c r="DZ14">
        <v>6.1615863797060147E-2</v>
      </c>
      <c r="EB14">
        <f t="array" ref="EB14:ED18">LINEST(ED3:ED12,DY3:EA12,0,1)</f>
        <v>-13.331754275886084</v>
      </c>
      <c r="EC14">
        <v>0.56805394657290198</v>
      </c>
      <c r="ED14">
        <v>7.4858447545995174E-2</v>
      </c>
      <c r="EG14">
        <f t="shared" si="8"/>
        <v>2010</v>
      </c>
      <c r="EH14" s="8">
        <f t="shared" si="9"/>
        <v>5826.6301958357708</v>
      </c>
      <c r="EI14" s="8">
        <f t="shared" si="23"/>
        <v>70651.45804845597</v>
      </c>
      <c r="EJ14">
        <v>0</v>
      </c>
      <c r="EK14">
        <f t="shared" si="5"/>
        <v>2010</v>
      </c>
      <c r="EL14" s="8">
        <f t="shared" si="6"/>
        <v>5162.46</v>
      </c>
      <c r="EM14" s="8">
        <f t="shared" si="10"/>
        <v>8496.382549486234</v>
      </c>
    </row>
    <row r="15" spans="1:143" x14ac:dyDescent="0.25">
      <c r="A15" s="1">
        <v>2010</v>
      </c>
      <c r="B15" s="3">
        <v>73.501939129999997</v>
      </c>
      <c r="C15" s="3">
        <v>71.861126609999999</v>
      </c>
      <c r="D15" s="3">
        <v>54.162511590000001</v>
      </c>
      <c r="E15" s="3">
        <v>14.95180055</v>
      </c>
      <c r="F15" s="3">
        <v>45.072853209999998</v>
      </c>
      <c r="G15" s="3">
        <v>32.83194829</v>
      </c>
      <c r="H15" s="3">
        <v>88.067128289999999</v>
      </c>
      <c r="I15" s="3">
        <v>58.978393339999997</v>
      </c>
      <c r="J15" s="3">
        <v>76.177562280000004</v>
      </c>
      <c r="K15" s="3">
        <v>78.845336979999999</v>
      </c>
      <c r="L15" s="3">
        <v>112.4191136</v>
      </c>
      <c r="M15" s="3">
        <v>100.8259463</v>
      </c>
      <c r="O15" s="11">
        <f t="shared" si="24"/>
        <v>379.97322238999999</v>
      </c>
      <c r="P15" s="11">
        <f t="shared" si="25"/>
        <v>214.0012926</v>
      </c>
      <c r="Q15" s="11">
        <f t="shared" si="26"/>
        <v>384.93933499999997</v>
      </c>
      <c r="AG15">
        <v>1999</v>
      </c>
      <c r="AH15">
        <v>1</v>
      </c>
      <c r="AI15" s="51">
        <v>117927.11381843593</v>
      </c>
      <c r="AJ15" s="51">
        <v>0</v>
      </c>
      <c r="AS15">
        <v>2010</v>
      </c>
      <c r="AT15" s="8">
        <v>99876.838858466028</v>
      </c>
      <c r="AU15" s="8">
        <v>308.51818466186501</v>
      </c>
      <c r="AV15" s="11">
        <f t="shared" si="27"/>
        <v>379.97322238999999</v>
      </c>
      <c r="AW15" s="8">
        <v>51500</v>
      </c>
      <c r="AX15">
        <f t="shared" si="11"/>
        <v>2010</v>
      </c>
      <c r="AY15">
        <f t="shared" si="12"/>
        <v>51500</v>
      </c>
      <c r="AZ15" s="8">
        <f t="shared" si="13"/>
        <v>68837.798297348752</v>
      </c>
      <c r="BX15" s="38">
        <v>2011</v>
      </c>
      <c r="BY15" s="11">
        <v>36.516666564941403</v>
      </c>
      <c r="BZ15" s="11">
        <v>46.283333218892416</v>
      </c>
      <c r="CA15" s="11">
        <v>26.650666694641114</v>
      </c>
      <c r="CB15" s="11">
        <v>26.492666575113933</v>
      </c>
      <c r="CC15" s="11">
        <v>24.253333333333334</v>
      </c>
      <c r="CD15" s="11">
        <v>37.061333389282225</v>
      </c>
      <c r="CE15" s="11">
        <v>11.895999987920126</v>
      </c>
      <c r="CF15" s="11">
        <v>30.419999961853026</v>
      </c>
      <c r="CG15" s="11">
        <v>72.326000086466465</v>
      </c>
      <c r="CH15" s="11">
        <v>37.389999961853029</v>
      </c>
      <c r="CI15" s="11">
        <v>149.1099998474121</v>
      </c>
      <c r="CJ15" s="11">
        <v>104.41999984741211</v>
      </c>
      <c r="CK15" s="11">
        <v>602.81999946912129</v>
      </c>
      <c r="CL15" s="11">
        <f t="shared" si="14"/>
        <v>501.10133313179011</v>
      </c>
      <c r="CM15" s="11">
        <f t="shared" si="15"/>
        <v>213.34666672070819</v>
      </c>
      <c r="CN15" s="11"/>
      <c r="CO15" s="8">
        <v>2421.9274520218382</v>
      </c>
      <c r="CP15" s="8">
        <v>48.070446331286853</v>
      </c>
      <c r="CQ15" s="56">
        <v>36192</v>
      </c>
      <c r="CR15" s="8">
        <v>1805.7155569996689</v>
      </c>
      <c r="CS15" s="8">
        <v>4677.3355004787445</v>
      </c>
      <c r="CT15" s="8">
        <v>0</v>
      </c>
      <c r="CU15" s="8">
        <v>1681.3</v>
      </c>
      <c r="CV15" s="8"/>
      <c r="CW15" s="8"/>
      <c r="CX15" s="11"/>
      <c r="CY15" s="8"/>
      <c r="DA15">
        <v>2012</v>
      </c>
      <c r="DB15" s="8">
        <f>CW180</f>
        <v>22297.833435274209</v>
      </c>
      <c r="DC15" s="8">
        <f t="shared" ref="DC15:DE15" si="47">CX180</f>
        <v>29959.671887491062</v>
      </c>
      <c r="DD15" s="8">
        <f t="shared" si="47"/>
        <v>6.2729949951171884</v>
      </c>
      <c r="DE15" s="8">
        <f t="shared" si="47"/>
        <v>6723.1150000000007</v>
      </c>
      <c r="DF15">
        <v>2012</v>
      </c>
      <c r="DG15" s="8">
        <v>9276.630000000001</v>
      </c>
      <c r="DH15" s="8">
        <f t="shared" si="1"/>
        <v>22297.833435274209</v>
      </c>
      <c r="DI15" s="8">
        <f t="shared" si="2"/>
        <v>29959.671887491062</v>
      </c>
      <c r="DJ15" s="8">
        <f t="shared" si="3"/>
        <v>6723.1150000000007</v>
      </c>
      <c r="DY15">
        <v>0.2599557750595291</v>
      </c>
      <c r="DZ15">
        <v>7.1758443822006593E-2</v>
      </c>
      <c r="EB15">
        <v>20.86104588488535</v>
      </c>
      <c r="EC15">
        <v>0.27018582098490829</v>
      </c>
      <c r="ED15">
        <v>7.7394059782988953E-2</v>
      </c>
      <c r="EG15">
        <f t="shared" si="8"/>
        <v>2011</v>
      </c>
      <c r="EH15" s="8">
        <f t="shared" si="9"/>
        <v>3508.0077786570191</v>
      </c>
      <c r="EI15" s="8">
        <f t="shared" si="23"/>
        <v>59102.43870708828</v>
      </c>
      <c r="EJ15">
        <v>0</v>
      </c>
      <c r="EK15">
        <f t="shared" si="5"/>
        <v>2011</v>
      </c>
      <c r="EL15" s="8">
        <f t="shared" si="6"/>
        <v>2089.2599999999998</v>
      </c>
      <c r="EM15" s="8">
        <f t="shared" si="10"/>
        <v>6398.2935254787772</v>
      </c>
    </row>
    <row r="16" spans="1:143" x14ac:dyDescent="0.25">
      <c r="A16" s="1">
        <v>2011</v>
      </c>
      <c r="B16" s="3">
        <v>62.702954759999997</v>
      </c>
      <c r="C16" s="3">
        <v>59.849307459999999</v>
      </c>
      <c r="D16" s="3">
        <v>49.142012880000003</v>
      </c>
      <c r="E16" s="3">
        <v>47.066204890000002</v>
      </c>
      <c r="F16" s="3">
        <v>37.448199430000003</v>
      </c>
      <c r="G16" s="3">
        <v>47.017359120000002</v>
      </c>
      <c r="H16" s="3">
        <v>8.3354570710000004</v>
      </c>
      <c r="I16" s="3">
        <v>48.14044328</v>
      </c>
      <c r="J16" s="3">
        <v>78.709418240000005</v>
      </c>
      <c r="K16" s="3">
        <v>70.089289109999996</v>
      </c>
      <c r="L16" s="3">
        <v>204.9086796</v>
      </c>
      <c r="M16" s="3">
        <v>142.64773769999999</v>
      </c>
      <c r="O16" s="11">
        <f t="shared" si="24"/>
        <v>289.74016625100001</v>
      </c>
      <c r="P16" s="11">
        <f t="shared" si="25"/>
        <v>196.93915063</v>
      </c>
      <c r="Q16" s="11">
        <f t="shared" si="26"/>
        <v>660.8378580000001</v>
      </c>
      <c r="AG16">
        <v>1999</v>
      </c>
      <c r="AH16">
        <v>2</v>
      </c>
      <c r="AI16" s="51">
        <v>57232.391221328406</v>
      </c>
      <c r="AJ16" s="51">
        <v>0</v>
      </c>
      <c r="AS16">
        <v>2011</v>
      </c>
      <c r="AT16" s="8">
        <v>41060.488315779265</v>
      </c>
      <c r="AU16" s="8">
        <v>0</v>
      </c>
      <c r="AV16" s="11">
        <f t="shared" si="27"/>
        <v>289.74016625100001</v>
      </c>
      <c r="AW16" s="8">
        <v>50607</v>
      </c>
      <c r="AX16">
        <f t="shared" si="11"/>
        <v>2011</v>
      </c>
      <c r="AY16">
        <f t="shared" si="12"/>
        <v>50607</v>
      </c>
      <c r="AZ16" s="8">
        <f t="shared" si="13"/>
        <v>37231.096819318154</v>
      </c>
      <c r="BX16" s="38">
        <v>2012</v>
      </c>
      <c r="BY16" s="11">
        <v>104.0406667582194</v>
      </c>
      <c r="BZ16" s="11">
        <v>132.71533335367837</v>
      </c>
      <c r="CA16" s="11">
        <v>10.815333325068156</v>
      </c>
      <c r="CB16" s="11">
        <v>27.634666659037272</v>
      </c>
      <c r="CC16" s="11">
        <v>47.657333246866862</v>
      </c>
      <c r="CD16" s="11">
        <v>31.576000061035156</v>
      </c>
      <c r="CE16" s="11">
        <v>74.532000020345052</v>
      </c>
      <c r="CF16" s="11">
        <v>3.5753333552678428</v>
      </c>
      <c r="CG16" s="11">
        <v>3.7520000123977661</v>
      </c>
      <c r="CH16" s="11">
        <v>3.5240000216166179</v>
      </c>
      <c r="CI16" s="11">
        <v>5.0760000594456987</v>
      </c>
      <c r="CJ16" s="11">
        <v>32.420666720072425</v>
      </c>
      <c r="CK16" s="11">
        <v>477.3193335930506</v>
      </c>
      <c r="CL16" s="11">
        <f t="shared" si="14"/>
        <v>213.39333377679191</v>
      </c>
      <c r="CM16" s="11">
        <f t="shared" si="15"/>
        <v>164.61666671752928</v>
      </c>
      <c r="CN16" s="11"/>
      <c r="CO16" s="8">
        <v>216.97041719527908</v>
      </c>
      <c r="CP16" s="8">
        <v>573.70993559416422</v>
      </c>
      <c r="CQ16" s="56">
        <v>36220</v>
      </c>
      <c r="CR16" s="8">
        <v>1644.6995949121192</v>
      </c>
      <c r="CS16" s="8">
        <v>11215.708804368973</v>
      </c>
      <c r="CT16" s="8">
        <v>0</v>
      </c>
      <c r="CU16" s="8">
        <v>2473.5</v>
      </c>
      <c r="CV16" s="8"/>
      <c r="CW16" s="8"/>
      <c r="CX16" s="11"/>
      <c r="CY16" s="8"/>
      <c r="DA16">
        <v>2013</v>
      </c>
      <c r="DB16" s="8">
        <f>CW192</f>
        <v>23430.345064879584</v>
      </c>
      <c r="DC16" s="8">
        <f t="shared" ref="DC16:DE16" si="48">CX192</f>
        <v>6209.9366073851743</v>
      </c>
      <c r="DD16" s="8">
        <f t="shared" si="48"/>
        <v>0</v>
      </c>
      <c r="DE16" s="8">
        <f t="shared" si="48"/>
        <v>17513.872200000002</v>
      </c>
      <c r="DF16">
        <v>2013</v>
      </c>
      <c r="DG16" s="8">
        <v>2955.23</v>
      </c>
      <c r="DH16" s="8">
        <f t="shared" si="1"/>
        <v>23430.345064879584</v>
      </c>
      <c r="DI16" s="8">
        <f t="shared" si="2"/>
        <v>6209.9366073851743</v>
      </c>
      <c r="DJ16" s="8">
        <f t="shared" si="3"/>
        <v>17513.872200000002</v>
      </c>
      <c r="DN16" t="s">
        <v>456</v>
      </c>
      <c r="DQ16">
        <v>150</v>
      </c>
      <c r="DY16">
        <v>0.84741817865922298</v>
      </c>
      <c r="DZ16">
        <v>3995.9688963860604</v>
      </c>
      <c r="EB16">
        <v>0.85582980349219617</v>
      </c>
      <c r="EC16">
        <v>4152.4500832134245</v>
      </c>
      <c r="ED16" t="e">
        <v>#N/A</v>
      </c>
      <c r="EG16">
        <f t="shared" si="8"/>
        <v>2012</v>
      </c>
      <c r="EH16" s="8">
        <f t="shared" si="9"/>
        <v>22297.833435274209</v>
      </c>
      <c r="EI16" s="8">
        <f t="shared" si="23"/>
        <v>36682.786887491064</v>
      </c>
      <c r="EJ16">
        <v>0</v>
      </c>
      <c r="EK16">
        <f t="shared" si="5"/>
        <v>2012</v>
      </c>
      <c r="EL16" s="8">
        <f t="shared" si="6"/>
        <v>9276.630000000001</v>
      </c>
      <c r="EM16" s="8">
        <f t="shared" si="10"/>
        <v>14416.493058338234</v>
      </c>
    </row>
    <row r="17" spans="1:143" x14ac:dyDescent="0.25">
      <c r="A17" s="1">
        <v>2012</v>
      </c>
      <c r="B17" s="3">
        <v>128.50424760000001</v>
      </c>
      <c r="C17" s="3">
        <v>167.83111740000001</v>
      </c>
      <c r="D17" s="3">
        <v>16.946075700000002</v>
      </c>
      <c r="E17" s="3">
        <v>33.379593669999998</v>
      </c>
      <c r="F17" s="3">
        <v>40.539612200000001</v>
      </c>
      <c r="G17" s="3">
        <v>34.777008289999998</v>
      </c>
      <c r="H17" s="3">
        <v>91.339796899999996</v>
      </c>
      <c r="I17" s="3">
        <v>8.0680517030000001</v>
      </c>
      <c r="J17" s="3">
        <v>13.614127420000001</v>
      </c>
      <c r="K17" s="3">
        <v>16.521144979999999</v>
      </c>
      <c r="L17" s="3">
        <v>31.99048939</v>
      </c>
      <c r="M17" s="3">
        <v>77.097045249999994</v>
      </c>
      <c r="O17" s="11">
        <f t="shared" si="24"/>
        <v>204.859741493</v>
      </c>
      <c r="P17" s="11">
        <f t="shared" si="25"/>
        <v>38.203324103</v>
      </c>
      <c r="Q17" s="11">
        <f t="shared" si="26"/>
        <v>390.62382281999999</v>
      </c>
      <c r="AG17">
        <v>1999</v>
      </c>
      <c r="AH17">
        <v>3</v>
      </c>
      <c r="AI17" s="51">
        <v>21121.231636059107</v>
      </c>
      <c r="AJ17" s="51">
        <v>180.9462890625</v>
      </c>
      <c r="AS17">
        <v>2012</v>
      </c>
      <c r="AT17" s="8">
        <v>29500.265728737806</v>
      </c>
      <c r="AU17" s="8">
        <v>52032.055401578553</v>
      </c>
      <c r="AV17" s="11">
        <f t="shared" si="27"/>
        <v>204.859741493</v>
      </c>
      <c r="AW17" s="8">
        <v>67361</v>
      </c>
      <c r="AX17">
        <f t="shared" si="11"/>
        <v>2012</v>
      </c>
      <c r="AY17">
        <f t="shared" si="12"/>
        <v>67361</v>
      </c>
      <c r="AZ17" s="8">
        <f t="shared" si="13"/>
        <v>67237.99524643911</v>
      </c>
      <c r="BX17" s="38">
        <v>2013</v>
      </c>
      <c r="BY17" s="11">
        <v>52.690000127156573</v>
      </c>
      <c r="BZ17" s="11">
        <v>41.325333302815757</v>
      </c>
      <c r="CA17" s="11">
        <v>81.881333567301439</v>
      </c>
      <c r="CB17" s="11">
        <v>2.8853333284457525</v>
      </c>
      <c r="CC17" s="11">
        <v>40.918000030517575</v>
      </c>
      <c r="CD17" s="11">
        <v>25.703333288828532</v>
      </c>
      <c r="CE17" s="11">
        <v>13.259333330790202</v>
      </c>
      <c r="CF17" s="11">
        <v>3.5420000179608664</v>
      </c>
      <c r="CG17" s="11">
        <v>19.750000076293944</v>
      </c>
      <c r="CH17" s="11">
        <v>12.484666674931844</v>
      </c>
      <c r="CI17" s="11">
        <v>24.476666647593181</v>
      </c>
      <c r="CJ17" s="11">
        <v>11.75399995803833</v>
      </c>
      <c r="CK17" s="11">
        <v>330.67000035067389</v>
      </c>
      <c r="CL17" s="11">
        <f t="shared" si="14"/>
        <v>191.08866678396862</v>
      </c>
      <c r="CM17" s="11">
        <f t="shared" si="15"/>
        <v>115.65733341932297</v>
      </c>
      <c r="CN17" s="11"/>
      <c r="CO17" s="8">
        <v>1.4571958191692833</v>
      </c>
      <c r="CP17" s="8">
        <v>2.7780107920989406E-4</v>
      </c>
      <c r="CQ17" s="56">
        <v>36251</v>
      </c>
      <c r="CR17" s="8">
        <v>34.325082287192345</v>
      </c>
      <c r="CS17" s="8">
        <v>5325.9375839233398</v>
      </c>
      <c r="CT17" s="8">
        <v>0</v>
      </c>
      <c r="CU17" s="8">
        <v>41.19</v>
      </c>
      <c r="CV17" s="8"/>
      <c r="CW17" s="8"/>
      <c r="CX17" s="11"/>
      <c r="CY17" s="8"/>
      <c r="DC17" t="s">
        <v>272</v>
      </c>
      <c r="DD17" t="s">
        <v>271</v>
      </c>
      <c r="DH17" t="s">
        <v>353</v>
      </c>
      <c r="DI17" t="s">
        <v>272</v>
      </c>
      <c r="DJ17" t="s">
        <v>271</v>
      </c>
      <c r="DY17">
        <v>22.21544273656545</v>
      </c>
      <c r="DZ17">
        <v>8</v>
      </c>
      <c r="EB17">
        <v>13.85124149456483</v>
      </c>
      <c r="EC17">
        <v>7</v>
      </c>
      <c r="ED17" t="e">
        <v>#N/A</v>
      </c>
      <c r="EG17">
        <f t="shared" si="8"/>
        <v>2013</v>
      </c>
      <c r="EH17" s="8">
        <f t="shared" si="9"/>
        <v>23430.345064879584</v>
      </c>
      <c r="EI17" s="8">
        <f t="shared" si="23"/>
        <v>23723.808807385176</v>
      </c>
      <c r="EJ17">
        <v>0</v>
      </c>
      <c r="EK17">
        <f t="shared" si="5"/>
        <v>2013</v>
      </c>
      <c r="EL17" s="8">
        <f t="shared" si="6"/>
        <v>2955.23</v>
      </c>
      <c r="EM17" s="8">
        <f t="shared" si="10"/>
        <v>14000.819061451504</v>
      </c>
    </row>
    <row r="18" spans="1:143" x14ac:dyDescent="0.25">
      <c r="A18" s="1">
        <v>2013</v>
      </c>
      <c r="B18" s="3">
        <v>138.5029548</v>
      </c>
      <c r="C18" s="3">
        <v>57.515420149999997</v>
      </c>
      <c r="D18" s="3">
        <v>85.517913230000005</v>
      </c>
      <c r="E18" s="3">
        <v>10.6918744</v>
      </c>
      <c r="F18" s="3">
        <v>31.17045242</v>
      </c>
      <c r="G18" s="3">
        <v>64.715050779999999</v>
      </c>
      <c r="H18" s="3">
        <v>26.299630650000001</v>
      </c>
      <c r="I18" s="3">
        <v>8.3024930870000002</v>
      </c>
      <c r="J18" s="3">
        <v>26.658633439999999</v>
      </c>
      <c r="K18" s="3">
        <v>14.46722068</v>
      </c>
      <c r="L18" s="3">
        <v>65.889750640000003</v>
      </c>
      <c r="M18" s="3">
        <v>21.843120949999999</v>
      </c>
      <c r="O18" s="11">
        <f t="shared" si="24"/>
        <v>171.61348105699997</v>
      </c>
      <c r="P18" s="11">
        <f t="shared" si="25"/>
        <v>49.428347207000002</v>
      </c>
      <c r="Q18" s="11">
        <f t="shared" si="26"/>
        <v>274.47839317</v>
      </c>
      <c r="AG18">
        <v>1999</v>
      </c>
      <c r="AH18">
        <v>4</v>
      </c>
      <c r="AI18" s="51">
        <v>29.149526784662164</v>
      </c>
      <c r="AJ18" s="51">
        <v>0</v>
      </c>
      <c r="AS18">
        <v>2013</v>
      </c>
      <c r="AT18" s="8">
        <v>51367.934927148286</v>
      </c>
      <c r="AU18" s="8">
        <v>5087.3920499086444</v>
      </c>
      <c r="AV18" s="11">
        <f t="shared" si="27"/>
        <v>171.61348105699997</v>
      </c>
      <c r="AW18" s="8">
        <v>63247</v>
      </c>
      <c r="AX18">
        <f t="shared" si="11"/>
        <v>2013</v>
      </c>
      <c r="AY18">
        <f t="shared" si="12"/>
        <v>63247</v>
      </c>
      <c r="AZ18" s="8">
        <f t="shared" si="13"/>
        <v>37650.305469230516</v>
      </c>
      <c r="BX18" s="38">
        <v>2014</v>
      </c>
      <c r="BY18" s="11">
        <v>8.7959999863306688</v>
      </c>
      <c r="BZ18" s="11">
        <v>20.326000029246014</v>
      </c>
      <c r="CA18" s="11">
        <v>125.73600016276042</v>
      </c>
      <c r="CB18" s="11">
        <v>11.129333330790201</v>
      </c>
      <c r="CC18" s="11">
        <v>7.1226667062441509</v>
      </c>
      <c r="CD18" s="11">
        <v>30.432000045776366</v>
      </c>
      <c r="CE18" s="11">
        <v>8.4266666634877527</v>
      </c>
      <c r="CF18" s="11">
        <v>32.631333363850914</v>
      </c>
      <c r="CG18" s="11">
        <v>14.697333348592123</v>
      </c>
      <c r="CH18" s="11">
        <v>1.4766666875282923</v>
      </c>
      <c r="CI18" s="11">
        <v>17.428000049591063</v>
      </c>
      <c r="CJ18" s="11">
        <v>53.965999908447266</v>
      </c>
      <c r="CK18" s="11">
        <v>332.16800028264521</v>
      </c>
      <c r="CL18" s="11">
        <f t="shared" si="14"/>
        <v>201.96533324082694</v>
      </c>
      <c r="CM18" s="11">
        <f t="shared" si="15"/>
        <v>94.786666815479606</v>
      </c>
      <c r="CN18" s="11"/>
      <c r="CO18" s="8">
        <v>39.969874902069577</v>
      </c>
      <c r="CP18" s="8">
        <v>0</v>
      </c>
      <c r="CQ18" s="56">
        <v>36281</v>
      </c>
      <c r="CR18" s="8">
        <v>0</v>
      </c>
      <c r="CS18" s="8">
        <v>0</v>
      </c>
      <c r="CT18" s="8">
        <v>0</v>
      </c>
      <c r="CU18" s="8">
        <v>9.8955000000000002</v>
      </c>
      <c r="DC18">
        <f t="array" ref="DC18:DD22">LINEST(DG2:DG11,DB2:DC11,0,1)</f>
        <v>0.18487549235823011</v>
      </c>
      <c r="DD18">
        <v>0.3953920071621515</v>
      </c>
      <c r="DF18" t="s">
        <v>374</v>
      </c>
      <c r="DH18">
        <f t="array" ref="DH18:DJ22">LINEST(DG2:DG12,DH2:DJ12,0,1)</f>
        <v>-0.53048235871780003</v>
      </c>
      <c r="DI18">
        <v>0.31716386316096667</v>
      </c>
      <c r="DJ18">
        <v>0.50798593038795858</v>
      </c>
      <c r="DY18">
        <v>709462045.53892469</v>
      </c>
      <c r="DZ18">
        <v>127742139.36707865</v>
      </c>
      <c r="EB18">
        <v>716504293.0509491</v>
      </c>
      <c r="EC18">
        <v>120699891.85505423</v>
      </c>
      <c r="ED18" t="e">
        <v>#N/A</v>
      </c>
      <c r="EH18" s="23" t="s">
        <v>491</v>
      </c>
      <c r="EI18" s="23" t="s">
        <v>499</v>
      </c>
      <c r="EJ18" s="23" t="s">
        <v>271</v>
      </c>
    </row>
    <row r="19" spans="1:143" x14ac:dyDescent="0.25">
      <c r="A19" s="1">
        <v>2014</v>
      </c>
      <c r="B19" s="4">
        <v>20.656417340000001</v>
      </c>
      <c r="C19" s="4">
        <v>45.991874439999997</v>
      </c>
      <c r="D19" s="4">
        <v>120.09722979999999</v>
      </c>
      <c r="E19" s="4">
        <v>12.665281630000001</v>
      </c>
      <c r="F19" s="4">
        <v>16.993998149999999</v>
      </c>
      <c r="G19" s="4">
        <v>48.317359170000003</v>
      </c>
      <c r="H19" s="4"/>
      <c r="I19" s="4"/>
      <c r="J19" s="4"/>
      <c r="K19" s="4"/>
      <c r="L19" s="4"/>
      <c r="M19" s="4"/>
      <c r="AG19">
        <v>1999</v>
      </c>
      <c r="AH19">
        <v>5</v>
      </c>
      <c r="AI19" s="51">
        <v>801.94222155213367</v>
      </c>
      <c r="AJ19" s="51">
        <v>0</v>
      </c>
      <c r="BX19" s="38">
        <v>2015</v>
      </c>
      <c r="BY19" s="11">
        <v>97.969333267211908</v>
      </c>
      <c r="BZ19" s="11">
        <v>4.3113333463668821</v>
      </c>
      <c r="CA19" s="11">
        <v>28.290666669209799</v>
      </c>
      <c r="CB19" s="11">
        <v>58.278000030517575</v>
      </c>
      <c r="CC19" s="11">
        <v>34.630666643778483</v>
      </c>
      <c r="CD19" s="11">
        <v>54.814666824340819</v>
      </c>
      <c r="CE19" s="11">
        <v>44.118666687011718</v>
      </c>
      <c r="CF19" s="11">
        <v>13.700000060399374</v>
      </c>
      <c r="CG19" s="11">
        <v>4.1639999938011165</v>
      </c>
      <c r="CH19" s="11">
        <v>18.735999997456869</v>
      </c>
      <c r="CI19" s="11">
        <v>41.960000019073483</v>
      </c>
      <c r="CJ19" s="11">
        <v>36.504666760762532</v>
      </c>
      <c r="CK19" s="11">
        <v>437.47800029993056</v>
      </c>
      <c r="CL19" s="11">
        <f t="shared" si="14"/>
        <v>78.464666779836023</v>
      </c>
      <c r="CM19" s="11">
        <f t="shared" si="15"/>
        <v>170.16400020678839</v>
      </c>
      <c r="CN19" s="11"/>
      <c r="CO19" s="8">
        <v>20.349252626299872</v>
      </c>
      <c r="CP19" s="8">
        <v>0.98637422770261685</v>
      </c>
      <c r="CQ19" s="56">
        <v>36312</v>
      </c>
      <c r="CR19" s="8">
        <v>0</v>
      </c>
      <c r="CS19" s="8">
        <v>0</v>
      </c>
      <c r="CT19" s="8">
        <v>0</v>
      </c>
      <c r="CU19" s="8">
        <v>51.417999999999999</v>
      </c>
      <c r="DC19">
        <v>8.0384695302121625E-2</v>
      </c>
      <c r="DD19">
        <v>0.18866888978308391</v>
      </c>
      <c r="DH19">
        <v>0.21762263892415085</v>
      </c>
      <c r="DI19">
        <v>8.9357107931640117E-2</v>
      </c>
      <c r="DJ19">
        <v>0.13255410285392699</v>
      </c>
      <c r="EG19" t="s">
        <v>469</v>
      </c>
      <c r="EH19">
        <f t="array" ref="EH19:EJ23">LINEST(EL3:EL13,EH3:EJ13,0,1)</f>
        <v>7919.612268166863</v>
      </c>
      <c r="EI19">
        <v>7.7444515229838126E-2</v>
      </c>
      <c r="EJ19">
        <v>0.51913619518947995</v>
      </c>
    </row>
    <row r="20" spans="1:143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>
        <f>AVERAGE(O4:O18)</f>
        <v>229.60202524306669</v>
      </c>
      <c r="P20" s="11">
        <f>AVERAGE(P4:P18)</f>
        <v>114.6468821344</v>
      </c>
      <c r="Q20" s="11">
        <f>AVERAGE(Q4:Q18)</f>
        <v>398.16174828879997</v>
      </c>
      <c r="AG20">
        <v>1999</v>
      </c>
      <c r="AH20">
        <v>6</v>
      </c>
      <c r="AI20" s="51">
        <v>426.7163998782637</v>
      </c>
      <c r="AJ20" s="51">
        <v>0</v>
      </c>
      <c r="AT20">
        <f t="array" ref="AT20:AW24">LINEST(AW4:AW18,AT4:AV18,0,1)</f>
        <v>67.628413981522669</v>
      </c>
      <c r="AU20">
        <v>0.78245246033665783</v>
      </c>
      <c r="AV20">
        <v>0.42952311656368597</v>
      </c>
      <c r="AW20">
        <v>0</v>
      </c>
      <c r="CB20" s="15"/>
      <c r="CC20" s="15"/>
      <c r="CD20" s="15"/>
      <c r="CE20" s="8"/>
      <c r="CF20" s="8"/>
      <c r="CG20" s="8"/>
      <c r="CK20" s="15"/>
      <c r="CL20" s="15"/>
      <c r="CM20" s="15"/>
      <c r="CN20" s="15"/>
      <c r="CO20" s="8">
        <v>35.042578537762196</v>
      </c>
      <c r="CP20" s="8">
        <v>0</v>
      </c>
      <c r="CQ20" s="56">
        <v>36342</v>
      </c>
      <c r="CR20" s="8">
        <v>0</v>
      </c>
      <c r="CS20" s="8">
        <v>0</v>
      </c>
      <c r="CT20" s="8">
        <v>0</v>
      </c>
      <c r="CU20" s="8">
        <v>0.22417000000000001</v>
      </c>
      <c r="DC20">
        <v>0.8996835791995399</v>
      </c>
      <c r="DD20">
        <v>3240.0873311713535</v>
      </c>
      <c r="DH20">
        <v>0.93616219109955245</v>
      </c>
      <c r="DI20">
        <v>2588.7406802983915</v>
      </c>
      <c r="DJ20" t="e">
        <v>#N/A</v>
      </c>
      <c r="EH20">
        <v>2503.7057314337285</v>
      </c>
      <c r="EI20">
        <v>3.748349968199817E-2</v>
      </c>
      <c r="EJ20">
        <v>0.12590176006134893</v>
      </c>
      <c r="EL20" t="s">
        <v>545</v>
      </c>
    </row>
    <row r="21" spans="1:143" x14ac:dyDescent="0.25">
      <c r="A21" t="s">
        <v>133</v>
      </c>
      <c r="AG21">
        <v>1999</v>
      </c>
      <c r="AH21">
        <v>7</v>
      </c>
      <c r="AI21" s="51">
        <v>700.80959811806724</v>
      </c>
      <c r="AJ21" s="51">
        <v>0</v>
      </c>
      <c r="AT21">
        <v>32.196288952838295</v>
      </c>
      <c r="AU21">
        <v>0.1980540141537907</v>
      </c>
      <c r="AV21">
        <v>0.15839522622943492</v>
      </c>
      <c r="AW21" t="e">
        <v>#N/A</v>
      </c>
      <c r="CB21" s="15"/>
      <c r="CC21" s="15"/>
      <c r="CD21" s="15"/>
      <c r="CE21" s="8"/>
      <c r="CF21" s="8"/>
      <c r="CG21" s="8"/>
      <c r="CK21" s="11">
        <f>AVERAGE(CK3:CK19)</f>
        <v>499.9327059410835</v>
      </c>
      <c r="CL21" s="11">
        <f>AVERAGE(CL3:CL19)</f>
        <v>283.59509806509112</v>
      </c>
      <c r="CM21" s="11">
        <f>AVERAGE(CM3:CM19)</f>
        <v>175.24878434890627</v>
      </c>
      <c r="CN21" s="11"/>
      <c r="CO21" s="8">
        <v>46.125921295583261</v>
      </c>
      <c r="CP21" s="8">
        <v>127.37242183950735</v>
      </c>
      <c r="CQ21" s="56">
        <v>36373</v>
      </c>
      <c r="CR21" s="8">
        <v>14.826509475708011</v>
      </c>
      <c r="CS21" s="8">
        <v>0</v>
      </c>
      <c r="CT21" s="8">
        <v>0</v>
      </c>
      <c r="CU21" s="8">
        <v>0</v>
      </c>
      <c r="DC21">
        <v>35.873830905076055</v>
      </c>
      <c r="DD21">
        <v>8</v>
      </c>
      <c r="DH21">
        <v>39.105861441640222</v>
      </c>
      <c r="DI21">
        <v>8</v>
      </c>
      <c r="DJ21" t="e">
        <v>#N/A</v>
      </c>
      <c r="EH21">
        <v>0.94222411461079003</v>
      </c>
      <c r="EI21">
        <v>2462.7643994770892</v>
      </c>
      <c r="EJ21" t="e">
        <v>#N/A</v>
      </c>
      <c r="EL21">
        <f>1-(((1-EH21)*(10))/(7))</f>
        <v>0.91746302087255716</v>
      </c>
    </row>
    <row r="22" spans="1:143" x14ac:dyDescent="0.25">
      <c r="B22" s="9" t="s">
        <v>52</v>
      </c>
      <c r="C22" s="9" t="s">
        <v>51</v>
      </c>
      <c r="D22" s="9" t="s">
        <v>22</v>
      </c>
      <c r="E22" s="9" t="s">
        <v>23</v>
      </c>
      <c r="F22" s="9" t="s">
        <v>24</v>
      </c>
      <c r="G22" s="9" t="s">
        <v>25</v>
      </c>
      <c r="H22" s="9" t="s">
        <v>26</v>
      </c>
      <c r="I22" s="9" t="s">
        <v>27</v>
      </c>
      <c r="J22" s="9" t="s">
        <v>28</v>
      </c>
      <c r="K22" s="9" t="s">
        <v>29</v>
      </c>
      <c r="L22" s="9" t="s">
        <v>30</v>
      </c>
      <c r="M22" s="9" t="s">
        <v>31</v>
      </c>
      <c r="N22" s="9" t="s">
        <v>32</v>
      </c>
      <c r="O22" s="9" t="s">
        <v>33</v>
      </c>
      <c r="P22" s="9" t="s">
        <v>34</v>
      </c>
      <c r="Q22" s="9" t="s">
        <v>35</v>
      </c>
      <c r="AG22">
        <v>1999</v>
      </c>
      <c r="AH22">
        <v>8</v>
      </c>
      <c r="AI22" s="51">
        <v>3357.1354462243607</v>
      </c>
      <c r="AJ22" s="51">
        <v>0</v>
      </c>
      <c r="AT22">
        <v>0.93266073352381651</v>
      </c>
      <c r="AU22">
        <v>12797.803940699281</v>
      </c>
      <c r="AV22" t="e">
        <v>#N/A</v>
      </c>
      <c r="AW22" t="e">
        <v>#N/A</v>
      </c>
      <c r="CB22" s="15"/>
      <c r="CC22" s="15"/>
      <c r="CD22" s="15"/>
      <c r="CE22" s="8"/>
      <c r="CF22" s="8"/>
      <c r="CG22" s="8"/>
      <c r="CK22" s="15"/>
      <c r="CL22" s="15"/>
      <c r="CM22" s="15"/>
      <c r="CN22" s="15"/>
      <c r="CO22" s="8">
        <v>1166.0923671283758</v>
      </c>
      <c r="CP22" s="8">
        <v>102.36988144516943</v>
      </c>
      <c r="CQ22" s="56">
        <v>36404</v>
      </c>
      <c r="CR22" s="8">
        <v>712.32900332286965</v>
      </c>
      <c r="CS22" s="8">
        <v>266.13399636745447</v>
      </c>
      <c r="CT22" s="8">
        <v>0</v>
      </c>
      <c r="CU22" s="8">
        <v>443.56</v>
      </c>
      <c r="DC22">
        <v>753218857.59706652</v>
      </c>
      <c r="DD22">
        <v>83985327.308936834</v>
      </c>
      <c r="DH22">
        <v>786212978.47374904</v>
      </c>
      <c r="DI22">
        <v>53612626.478654236</v>
      </c>
      <c r="DJ22" t="e">
        <v>#N/A</v>
      </c>
      <c r="EH22">
        <v>43.488691208033842</v>
      </c>
      <c r="EI22">
        <v>8</v>
      </c>
      <c r="EJ22" t="e">
        <v>#N/A</v>
      </c>
      <c r="EL22">
        <v>4.46</v>
      </c>
      <c r="EM22" t="s">
        <v>601</v>
      </c>
    </row>
    <row r="23" spans="1:143" x14ac:dyDescent="0.25">
      <c r="A23" t="s">
        <v>99</v>
      </c>
      <c r="B23" s="8">
        <v>90000</v>
      </c>
      <c r="C23" s="8">
        <v>85000</v>
      </c>
      <c r="D23" s="8">
        <v>90000</v>
      </c>
      <c r="E23" s="8">
        <v>85600</v>
      </c>
      <c r="F23" s="8">
        <v>42000</v>
      </c>
      <c r="G23" s="8">
        <v>22000</v>
      </c>
      <c r="H23" s="8">
        <v>50000</v>
      </c>
      <c r="I23" s="8">
        <v>60000</v>
      </c>
      <c r="J23" s="8">
        <v>31100</v>
      </c>
      <c r="K23" s="8">
        <v>10500</v>
      </c>
      <c r="L23" s="8">
        <v>25600</v>
      </c>
      <c r="M23" s="8">
        <v>24500</v>
      </c>
      <c r="N23" s="8">
        <v>52200</v>
      </c>
      <c r="O23" s="8">
        <v>48000</v>
      </c>
      <c r="P23" s="8">
        <v>72800</v>
      </c>
      <c r="Q23" s="8">
        <v>62700</v>
      </c>
      <c r="AG23">
        <v>1999</v>
      </c>
      <c r="AH23">
        <v>9</v>
      </c>
      <c r="AI23" s="51">
        <v>34023.839496752254</v>
      </c>
      <c r="AJ23" s="51">
        <v>0</v>
      </c>
      <c r="AT23">
        <v>55.400706442424877</v>
      </c>
      <c r="AU23">
        <v>12</v>
      </c>
      <c r="AV23" t="e">
        <v>#N/A</v>
      </c>
      <c r="AW23" t="e">
        <v>#N/A</v>
      </c>
      <c r="CB23" s="15"/>
      <c r="CC23" s="15"/>
      <c r="CD23" s="15"/>
      <c r="CE23" s="8"/>
      <c r="CF23" s="8"/>
      <c r="CG23" s="8"/>
      <c r="CK23" s="15"/>
      <c r="CL23" s="15"/>
      <c r="CM23" s="15"/>
      <c r="CN23" s="15"/>
      <c r="CO23" s="8">
        <v>227.40104467272761</v>
      </c>
      <c r="CP23" s="8">
        <v>1519.8578540495596</v>
      </c>
      <c r="CQ23" s="56">
        <v>36434</v>
      </c>
      <c r="CR23" s="8">
        <v>587.96583186462522</v>
      </c>
      <c r="CS23" s="8">
        <v>3972.6527801010516</v>
      </c>
      <c r="CT23" s="8">
        <v>0</v>
      </c>
      <c r="CU23" s="8">
        <v>5115.8999999999996</v>
      </c>
      <c r="CW23" t="s">
        <v>271</v>
      </c>
      <c r="CX23" t="s">
        <v>272</v>
      </c>
      <c r="CY23" t="s">
        <v>144</v>
      </c>
      <c r="CZ23" t="s">
        <v>352</v>
      </c>
      <c r="DF23" t="s">
        <v>53</v>
      </c>
      <c r="DG23" t="s">
        <v>307</v>
      </c>
      <c r="DH23" t="s">
        <v>128</v>
      </c>
      <c r="DI23" t="s">
        <v>388</v>
      </c>
      <c r="DQ23" t="str">
        <f>DF23</f>
        <v>year</v>
      </c>
      <c r="DR23" t="s">
        <v>384</v>
      </c>
      <c r="DS23" t="s">
        <v>238</v>
      </c>
      <c r="EH23">
        <v>791303937.05374932</v>
      </c>
      <c r="EI23">
        <v>48521667.898653984</v>
      </c>
      <c r="EJ23" t="e">
        <v>#N/A</v>
      </c>
    </row>
    <row r="24" spans="1:143" x14ac:dyDescent="0.25">
      <c r="A24" t="s">
        <v>134</v>
      </c>
      <c r="B24" s="8">
        <v>612000</v>
      </c>
      <c r="C24" s="8">
        <v>731000</v>
      </c>
      <c r="D24" s="8">
        <v>690600</v>
      </c>
      <c r="E24" s="8">
        <v>727600</v>
      </c>
      <c r="F24" s="8">
        <v>365000</v>
      </c>
      <c r="G24" s="8">
        <v>188000</v>
      </c>
      <c r="H24" s="8">
        <v>500000</v>
      </c>
      <c r="I24" s="8">
        <v>545000</v>
      </c>
      <c r="J24" s="8">
        <v>275000</v>
      </c>
      <c r="K24" s="8">
        <v>103000</v>
      </c>
      <c r="L24" s="8">
        <v>278000</v>
      </c>
      <c r="M24" s="8">
        <v>238875</v>
      </c>
      <c r="N24" s="8">
        <v>511560</v>
      </c>
      <c r="O24" s="8">
        <v>456000</v>
      </c>
      <c r="P24" s="8">
        <v>800800</v>
      </c>
      <c r="Q24" s="8">
        <v>677257</v>
      </c>
      <c r="AG24">
        <v>1999</v>
      </c>
      <c r="AH24">
        <v>10</v>
      </c>
      <c r="AI24" s="51">
        <v>42336.727303324267</v>
      </c>
      <c r="AJ24" s="51">
        <v>134.72828090190893</v>
      </c>
      <c r="AK24">
        <f>AG24</f>
        <v>1999</v>
      </c>
      <c r="AL24" s="8">
        <f>SUM(AI21:AI24)</f>
        <v>80418.511844418943</v>
      </c>
      <c r="AM24" s="8">
        <f>SUM(AJ13:AJ24)</f>
        <v>315.67456996440893</v>
      </c>
      <c r="AT24">
        <v>27221212295.545063</v>
      </c>
      <c r="AU24">
        <v>1965405428.454937</v>
      </c>
      <c r="AV24" t="e">
        <v>#N/A</v>
      </c>
      <c r="AW24" t="e">
        <v>#N/A</v>
      </c>
      <c r="CB24" s="15"/>
      <c r="CC24" s="15"/>
      <c r="CD24" s="15"/>
      <c r="CE24" s="8"/>
      <c r="CF24" s="10"/>
      <c r="CG24" s="8"/>
      <c r="CH24" s="8"/>
      <c r="CK24" s="15"/>
      <c r="CL24" s="15"/>
      <c r="CM24" s="15"/>
      <c r="CN24" s="15"/>
      <c r="CO24" s="8">
        <v>972.83226844668377</v>
      </c>
      <c r="CP24" s="8">
        <v>598.12536847398167</v>
      </c>
      <c r="CQ24" s="56">
        <v>36465</v>
      </c>
      <c r="CR24" s="8">
        <v>728.48889911174751</v>
      </c>
      <c r="CS24" s="8">
        <v>8293.5400218367577</v>
      </c>
      <c r="CT24" s="8">
        <v>0</v>
      </c>
      <c r="CU24" s="8">
        <v>1242.5</v>
      </c>
      <c r="CV24" s="56">
        <f>CQ24</f>
        <v>36465</v>
      </c>
      <c r="CW24" s="8">
        <f>SUM(CR20:CR28)+SUM(CO20:CO28)</f>
        <v>25673.461568519291</v>
      </c>
      <c r="CX24" s="8">
        <f>SUM(CS12:CS23)+SUM(CP12:CP23)</f>
        <v>32841.082529702879</v>
      </c>
      <c r="CY24" s="8">
        <f t="shared" ref="CY24" si="49">SUM(CT12:CT23)</f>
        <v>0</v>
      </c>
      <c r="CZ24" s="8">
        <f>SUM(CU12:CU23)</f>
        <v>12133.657670000001</v>
      </c>
      <c r="DF24">
        <f>DF2</f>
        <v>1999</v>
      </c>
      <c r="DG24" s="8">
        <f>DG2</f>
        <v>15147.43725950543</v>
      </c>
      <c r="DH24" s="8">
        <f t="shared" ref="DH24:DH38" si="50">DB2+DC2+DD2+DE2</f>
        <v>70648.201768222178</v>
      </c>
      <c r="DI24">
        <v>0</v>
      </c>
      <c r="DQ24">
        <f t="shared" ref="DQ24:DQ38" si="51">DF24</f>
        <v>1999</v>
      </c>
      <c r="DR24" s="8">
        <f>DG24</f>
        <v>15147.43725950543</v>
      </c>
      <c r="DS24" s="8">
        <f>$DG$40*DH24</f>
        <v>13412.181668761239</v>
      </c>
    </row>
    <row r="25" spans="1:143" x14ac:dyDescent="0.25">
      <c r="AG25">
        <v>1999</v>
      </c>
      <c r="AH25">
        <v>11</v>
      </c>
      <c r="AI25" s="51">
        <v>35966.64124752349</v>
      </c>
      <c r="AJ25" s="51">
        <v>0</v>
      </c>
      <c r="CB25" s="15"/>
      <c r="CC25" s="15"/>
      <c r="CD25" s="15"/>
      <c r="CE25" s="8"/>
      <c r="CF25" s="8"/>
      <c r="CG25" s="8"/>
      <c r="CK25" s="15"/>
      <c r="CL25" s="15"/>
      <c r="CM25" s="15"/>
      <c r="CN25" s="15"/>
      <c r="CO25" s="8">
        <v>3584.8491695970297</v>
      </c>
      <c r="CP25" s="8">
        <v>35.696691882610331</v>
      </c>
      <c r="CQ25" s="56">
        <v>36495</v>
      </c>
      <c r="CR25" s="8">
        <v>1157.4612164321586</v>
      </c>
      <c r="CS25" s="8">
        <v>1991.7249366045007</v>
      </c>
      <c r="CT25" s="8">
        <v>0</v>
      </c>
      <c r="CU25" s="8">
        <v>316.89999999999998</v>
      </c>
      <c r="CW25" s="8"/>
      <c r="CX25" s="8">
        <f>SUM(CS12:CS16)+SUM(CP12:CP16)</f>
        <v>21525.771359948016</v>
      </c>
      <c r="CY25" s="8">
        <f t="shared" ref="CY25:CZ25" si="52">SUM(CT12:CT16)</f>
        <v>0</v>
      </c>
      <c r="CZ25" s="8">
        <f t="shared" si="52"/>
        <v>6471.47</v>
      </c>
      <c r="DA25" s="8">
        <f>SUM(CX25:CZ25)</f>
        <v>27997.241359948017</v>
      </c>
      <c r="DF25">
        <f t="shared" ref="DF25:DG25" si="53">DF3</f>
        <v>2000</v>
      </c>
      <c r="DG25" s="8">
        <f t="shared" si="53"/>
        <v>12437.739534997911</v>
      </c>
      <c r="DH25" s="8">
        <f t="shared" si="50"/>
        <v>26019.370110539181</v>
      </c>
      <c r="DI25">
        <v>1</v>
      </c>
      <c r="DQ25">
        <f t="shared" si="51"/>
        <v>2000</v>
      </c>
      <c r="DR25" s="8">
        <f t="shared" ref="DR25:DR38" si="54">DG25</f>
        <v>12437.739534997911</v>
      </c>
      <c r="DS25" s="8">
        <f t="shared" ref="DS25:DS38" si="55">$DG$40*DH25</f>
        <v>4939.6376708098833</v>
      </c>
      <c r="EH25" s="15">
        <f>EH19/EH20</f>
        <v>3.1631561843458957</v>
      </c>
      <c r="EI25" s="15">
        <f t="shared" ref="EI25:EJ25" si="56">EI19/EI20</f>
        <v>2.0660961726322378</v>
      </c>
      <c r="EJ25" s="15">
        <f t="shared" si="56"/>
        <v>4.12334343011978</v>
      </c>
    </row>
    <row r="26" spans="1:143" x14ac:dyDescent="0.25">
      <c r="AG26">
        <v>1999</v>
      </c>
      <c r="AH26">
        <v>12</v>
      </c>
      <c r="AI26" s="51">
        <v>85895.159924712963</v>
      </c>
      <c r="AJ26" s="51">
        <v>0</v>
      </c>
      <c r="CB26" s="15"/>
      <c r="CC26" s="15"/>
      <c r="CD26" s="15"/>
      <c r="CE26" s="8"/>
      <c r="CF26" s="8"/>
      <c r="CG26" s="8"/>
      <c r="CK26" s="15"/>
      <c r="CL26" s="15"/>
      <c r="CM26" s="15"/>
      <c r="CN26" s="15"/>
      <c r="CO26" s="8">
        <v>6474.6392170043737</v>
      </c>
      <c r="CP26" s="8">
        <v>8.6106462359428448</v>
      </c>
      <c r="CQ26" s="56">
        <v>36526</v>
      </c>
      <c r="CR26" s="8">
        <v>1517.5126928532259</v>
      </c>
      <c r="CS26" s="8">
        <v>976.03975921869312</v>
      </c>
      <c r="CT26" s="8">
        <v>0</v>
      </c>
      <c r="CU26" s="8">
        <v>636.14</v>
      </c>
      <c r="DF26">
        <f t="shared" ref="DF26:DG26" si="57">DF4</f>
        <v>2001</v>
      </c>
      <c r="DG26" s="8">
        <f t="shared" si="57"/>
        <v>17135</v>
      </c>
      <c r="DH26" s="8">
        <f t="shared" si="50"/>
        <v>80099.815044620264</v>
      </c>
      <c r="DI26">
        <v>0</v>
      </c>
      <c r="DQ26">
        <f t="shared" si="51"/>
        <v>2001</v>
      </c>
      <c r="DR26" s="8">
        <f t="shared" si="54"/>
        <v>17135</v>
      </c>
      <c r="DS26" s="8">
        <f t="shared" si="55"/>
        <v>15206.519686617865</v>
      </c>
      <c r="EH26" s="75">
        <v>0.99</v>
      </c>
      <c r="EI26" s="75">
        <v>0.95</v>
      </c>
      <c r="EJ26" s="76">
        <v>0.995</v>
      </c>
    </row>
    <row r="27" spans="1:143" ht="45" x14ac:dyDescent="0.25">
      <c r="A27" s="37" t="s">
        <v>137</v>
      </c>
      <c r="B27" s="37" t="s">
        <v>138</v>
      </c>
      <c r="C27" s="37" t="s">
        <v>139</v>
      </c>
      <c r="D27" s="37" t="s">
        <v>140</v>
      </c>
      <c r="E27" s="37" t="s">
        <v>141</v>
      </c>
      <c r="F27" s="37" t="s">
        <v>142</v>
      </c>
      <c r="G27" s="37" t="s">
        <v>143</v>
      </c>
      <c r="H27" s="37" t="s">
        <v>144</v>
      </c>
      <c r="I27" s="37" t="s">
        <v>148</v>
      </c>
      <c r="J27" s="37" t="s">
        <v>147</v>
      </c>
      <c r="K27" s="37" t="s">
        <v>146</v>
      </c>
      <c r="L27" s="37" t="s">
        <v>145</v>
      </c>
      <c r="AG27">
        <v>2000</v>
      </c>
      <c r="AH27">
        <v>1</v>
      </c>
      <c r="AI27" s="51">
        <v>156997.85807248193</v>
      </c>
      <c r="AJ27" s="51">
        <v>0</v>
      </c>
      <c r="CB27" s="15"/>
      <c r="CC27" s="15"/>
      <c r="CD27" s="15"/>
      <c r="CE27" s="8"/>
      <c r="CF27" s="8"/>
      <c r="CG27" s="8"/>
      <c r="CK27" s="15"/>
      <c r="CL27" s="15"/>
      <c r="CM27" s="15"/>
      <c r="CN27" s="15"/>
      <c r="CO27" s="8">
        <v>4341.3495134711256</v>
      </c>
      <c r="CP27" s="8">
        <v>5.7920427322387669</v>
      </c>
      <c r="CQ27" s="56">
        <v>36557</v>
      </c>
      <c r="CR27" s="8">
        <v>1867.8507095719694</v>
      </c>
      <c r="CS27" s="8">
        <v>4.0336289405822798</v>
      </c>
      <c r="CT27" s="8">
        <v>0</v>
      </c>
      <c r="CU27" s="8">
        <v>11.462</v>
      </c>
      <c r="DF27">
        <f t="shared" ref="DF27:DG27" si="58">DF5</f>
        <v>2002</v>
      </c>
      <c r="DG27" s="8">
        <f t="shared" si="58"/>
        <v>6540</v>
      </c>
      <c r="DH27" s="8">
        <f t="shared" si="50"/>
        <v>30156.074381689534</v>
      </c>
      <c r="DI27">
        <v>0</v>
      </c>
      <c r="DQ27">
        <f t="shared" si="51"/>
        <v>2002</v>
      </c>
      <c r="DR27" s="8">
        <f t="shared" si="54"/>
        <v>6540</v>
      </c>
      <c r="DS27" s="8">
        <f t="shared" si="55"/>
        <v>5724.9687593014405</v>
      </c>
    </row>
    <row r="28" spans="1:143" x14ac:dyDescent="0.25">
      <c r="A28" s="38">
        <v>1999</v>
      </c>
      <c r="B28" s="8">
        <v>50046.983659661382</v>
      </c>
      <c r="C28" s="8">
        <v>284.54649782180786</v>
      </c>
      <c r="D28" s="8">
        <v>0</v>
      </c>
      <c r="E28" s="8">
        <v>0</v>
      </c>
      <c r="F28" s="11">
        <v>316.22594647</v>
      </c>
      <c r="G28" s="8">
        <f>B28</f>
        <v>50046.983659661382</v>
      </c>
      <c r="H28" s="8">
        <f>SUM(C28:E28)</f>
        <v>284.54649782180786</v>
      </c>
      <c r="I28" s="8">
        <v>1025.729316711426</v>
      </c>
      <c r="J28" s="8">
        <v>46143.149658436421</v>
      </c>
      <c r="K28" s="8">
        <v>55000</v>
      </c>
      <c r="L28" s="8">
        <v>57102.56274049457</v>
      </c>
      <c r="AG28">
        <v>2000</v>
      </c>
      <c r="AH28">
        <v>2</v>
      </c>
      <c r="AI28" s="51">
        <v>103881.23906334722</v>
      </c>
      <c r="AJ28" s="51">
        <v>0</v>
      </c>
      <c r="AT28" t="s">
        <v>43</v>
      </c>
      <c r="AU28" t="s">
        <v>230</v>
      </c>
      <c r="AV28" t="s">
        <v>144</v>
      </c>
      <c r="AW28" t="s">
        <v>232</v>
      </c>
      <c r="AX28" t="s">
        <v>237</v>
      </c>
      <c r="AY28" t="s">
        <v>233</v>
      </c>
      <c r="AZ28" t="s">
        <v>238</v>
      </c>
      <c r="BB28" t="s">
        <v>43</v>
      </c>
      <c r="BC28" t="s">
        <v>230</v>
      </c>
      <c r="BD28" t="s">
        <v>144</v>
      </c>
      <c r="BE28" t="s">
        <v>91</v>
      </c>
      <c r="BF28" t="s">
        <v>233</v>
      </c>
      <c r="BG28" t="str">
        <f>BB28</f>
        <v>Plant in</v>
      </c>
      <c r="BH28" t="str">
        <f>BF28</f>
        <v>area ha</v>
      </c>
      <c r="BI28" t="s">
        <v>74</v>
      </c>
      <c r="CB28" s="15"/>
      <c r="CC28" s="15"/>
      <c r="CD28" s="15"/>
      <c r="CE28" s="8"/>
      <c r="CF28" s="8"/>
      <c r="CG28" s="8"/>
      <c r="CK28" s="15"/>
      <c r="CL28" s="15"/>
      <c r="CM28" s="15"/>
      <c r="CN28" s="15"/>
      <c r="CO28" s="8">
        <v>540.13149768710161</v>
      </c>
      <c r="CP28" s="8">
        <v>349.15412405484221</v>
      </c>
      <c r="CQ28" s="56">
        <v>36586</v>
      </c>
      <c r="CR28" s="8">
        <v>1698.563128046226</v>
      </c>
      <c r="CS28" s="8">
        <v>4162.4098773002625</v>
      </c>
      <c r="CT28" s="8">
        <v>0</v>
      </c>
      <c r="CU28" s="8">
        <v>723.53</v>
      </c>
      <c r="DF28">
        <f t="shared" ref="DF28:DG28" si="59">DF6</f>
        <v>2003</v>
      </c>
      <c r="DG28" s="8">
        <f t="shared" si="59"/>
        <v>419</v>
      </c>
      <c r="DH28" s="8">
        <f t="shared" si="50"/>
        <v>23871.738997643639</v>
      </c>
      <c r="DI28">
        <v>0</v>
      </c>
      <c r="DQ28">
        <f t="shared" si="51"/>
        <v>2003</v>
      </c>
      <c r="DR28" s="8">
        <f t="shared" si="54"/>
        <v>419</v>
      </c>
      <c r="DS28" s="8">
        <f t="shared" si="55"/>
        <v>4531.9214385108862</v>
      </c>
    </row>
    <row r="29" spans="1:143" x14ac:dyDescent="0.25">
      <c r="A29" s="38">
        <v>2000</v>
      </c>
      <c r="B29" s="8">
        <v>1730.2262947037816</v>
      </c>
      <c r="C29" s="8">
        <v>0</v>
      </c>
      <c r="D29" s="8">
        <v>0</v>
      </c>
      <c r="E29" s="8">
        <v>0</v>
      </c>
      <c r="F29" s="11">
        <v>201.48328728600001</v>
      </c>
      <c r="G29" s="8">
        <f t="shared" ref="G29:G42" si="60">B29</f>
        <v>1730.2262947037816</v>
      </c>
      <c r="H29" s="8">
        <f t="shared" ref="H29:H42" si="61">SUM(C29:E29)</f>
        <v>0</v>
      </c>
      <c r="I29" s="8">
        <v>774.53611755371128</v>
      </c>
      <c r="J29" s="8">
        <v>53497.495059129425</v>
      </c>
      <c r="K29" s="8">
        <f>L28</f>
        <v>57102.56274049457</v>
      </c>
      <c r="L29" s="8">
        <v>64062.260465002088</v>
      </c>
      <c r="N29">
        <f t="array" ref="N29:S33">LINEST(L28:L42,F28:K42,0,1)</f>
        <v>-4.7921903206252191E-2</v>
      </c>
      <c r="O29">
        <v>0.76964534954257924</v>
      </c>
      <c r="P29">
        <v>-8.3451955645274065</v>
      </c>
      <c r="Q29">
        <v>0.28603846076268868</v>
      </c>
      <c r="R29">
        <v>0.13378814639380454</v>
      </c>
      <c r="S29">
        <v>87.117834875739831</v>
      </c>
      <c r="AG29">
        <v>2000</v>
      </c>
      <c r="AH29">
        <v>3</v>
      </c>
      <c r="AI29" s="51">
        <v>25826.86389214822</v>
      </c>
      <c r="AJ29" s="51">
        <v>0</v>
      </c>
      <c r="AO29">
        <f>AG24</f>
        <v>1999</v>
      </c>
      <c r="AP29" s="8">
        <f>SUM(AI25:AI29)</f>
        <v>408567.76220021385</v>
      </c>
      <c r="AQ29" s="8">
        <f>SUM(AJ25:AJ29)</f>
        <v>0</v>
      </c>
      <c r="AT29">
        <v>1999</v>
      </c>
      <c r="AU29" s="8">
        <v>80418.511844418943</v>
      </c>
      <c r="AV29" s="8">
        <v>315.67456996440893</v>
      </c>
      <c r="AW29" s="11">
        <v>316.22594647</v>
      </c>
      <c r="AX29" s="8">
        <v>114</v>
      </c>
      <c r="AY29" s="8">
        <v>44590</v>
      </c>
      <c r="AZ29" s="8">
        <f>($AX$45*AU29)+($AW$45*AV29)+($AV$45*AW29)+($AU$45*AX29)</f>
        <v>63912.596001117839</v>
      </c>
      <c r="BB29">
        <v>1999</v>
      </c>
      <c r="BC29" s="8">
        <v>80418.511844418943</v>
      </c>
      <c r="BD29" s="8">
        <v>315.67456996440893</v>
      </c>
      <c r="BE29" s="8">
        <v>42000</v>
      </c>
      <c r="BF29" s="8">
        <v>44590</v>
      </c>
      <c r="BG29">
        <f t="shared" ref="BG29:BG43" si="62">BB29</f>
        <v>1999</v>
      </c>
      <c r="BH29">
        <f t="shared" ref="BH29:BH43" si="63">BF29</f>
        <v>44590</v>
      </c>
      <c r="BI29" s="8">
        <f t="shared" ref="BI29:BI43" si="64">($BE$45*BC29)+($BD$45*BD29)+($BC$45*BE29)</f>
        <v>51138.853972794532</v>
      </c>
      <c r="CB29" s="15"/>
      <c r="CC29" s="15"/>
      <c r="CD29" s="15"/>
      <c r="CE29" s="8"/>
      <c r="CF29" s="8"/>
      <c r="CG29" s="8"/>
      <c r="CK29" s="15"/>
      <c r="CL29" s="15"/>
      <c r="CM29" s="15"/>
      <c r="CN29" s="15"/>
      <c r="CO29" s="8">
        <v>1.8495918184518816</v>
      </c>
      <c r="CP29" s="8">
        <v>0</v>
      </c>
      <c r="CQ29" s="56">
        <v>36617</v>
      </c>
      <c r="CR29" s="8">
        <v>5.0151041140779853</v>
      </c>
      <c r="CS29" s="8">
        <v>789.53140532970428</v>
      </c>
      <c r="CT29" s="8">
        <v>0</v>
      </c>
      <c r="CU29" s="8">
        <v>27.443000000000001</v>
      </c>
      <c r="DF29">
        <f t="shared" ref="DF29:DG29" si="65">DF7</f>
        <v>2004</v>
      </c>
      <c r="DG29" s="8">
        <f t="shared" si="65"/>
        <v>6109.7</v>
      </c>
      <c r="DH29" s="8">
        <f t="shared" si="50"/>
        <v>45450.666824276967</v>
      </c>
      <c r="DI29">
        <v>0</v>
      </c>
      <c r="DQ29">
        <f t="shared" si="51"/>
        <v>2004</v>
      </c>
      <c r="DR29" s="8">
        <f t="shared" si="54"/>
        <v>6109.7</v>
      </c>
      <c r="DS29" s="8">
        <f t="shared" si="55"/>
        <v>8628.5649904218681</v>
      </c>
    </row>
    <row r="30" spans="1:143" x14ac:dyDescent="0.25">
      <c r="A30" s="38">
        <v>2001</v>
      </c>
      <c r="B30" s="8">
        <v>0</v>
      </c>
      <c r="C30" s="8">
        <v>63025.038188189283</v>
      </c>
      <c r="D30" s="8">
        <v>100156.22915649414</v>
      </c>
      <c r="E30" s="8">
        <v>0</v>
      </c>
      <c r="F30" s="11">
        <v>239.28864257999999</v>
      </c>
      <c r="G30" s="8">
        <f t="shared" si="60"/>
        <v>0</v>
      </c>
      <c r="H30" s="8">
        <f t="shared" si="61"/>
        <v>163181.26734468341</v>
      </c>
      <c r="I30" s="8">
        <v>1123.5898742675784</v>
      </c>
      <c r="J30" s="8">
        <v>4034.5915586668993</v>
      </c>
      <c r="K30" s="8">
        <f t="shared" ref="K30:K42" si="66">L29</f>
        <v>64062.260465002088</v>
      </c>
      <c r="L30" s="8">
        <v>55624.709759260477</v>
      </c>
      <c r="N30">
        <v>0.25181239052477933</v>
      </c>
      <c r="O30">
        <v>0.23428443766685284</v>
      </c>
      <c r="P30">
        <v>6.2594059139392364</v>
      </c>
      <c r="Q30">
        <v>8.4809757820166434E-2</v>
      </c>
      <c r="R30">
        <v>0.10703460296894991</v>
      </c>
      <c r="S30">
        <v>32.908092256851788</v>
      </c>
      <c r="AG30">
        <v>2000</v>
      </c>
      <c r="AH30">
        <v>4</v>
      </c>
      <c r="AI30" s="51">
        <v>66.017967045307188</v>
      </c>
      <c r="AJ30" s="51">
        <v>0</v>
      </c>
      <c r="AT30">
        <v>2000</v>
      </c>
      <c r="AU30" s="8">
        <v>49884.866875195876</v>
      </c>
      <c r="AV30" s="8">
        <v>0</v>
      </c>
      <c r="AW30" s="11">
        <v>201.48328728600001</v>
      </c>
      <c r="AX30" s="8">
        <v>62</v>
      </c>
      <c r="AY30" s="8">
        <v>45741</v>
      </c>
      <c r="AZ30" s="8">
        <f t="shared" ref="AZ30:AZ43" si="67">($AX$45*AU30)+($AW$45*AV30)+($AV$45*AW30)+($AU$45*AX30)</f>
        <v>38493.446341463794</v>
      </c>
      <c r="BB30">
        <v>2000</v>
      </c>
      <c r="BC30" s="8">
        <v>49884.866875195876</v>
      </c>
      <c r="BD30" s="8">
        <v>0</v>
      </c>
      <c r="BE30" s="8">
        <f>BF29</f>
        <v>44590</v>
      </c>
      <c r="BF30" s="8">
        <v>45741</v>
      </c>
      <c r="BG30">
        <f t="shared" si="62"/>
        <v>2000</v>
      </c>
      <c r="BH30">
        <f t="shared" si="63"/>
        <v>45741</v>
      </c>
      <c r="BI30" s="8">
        <f t="shared" si="64"/>
        <v>41965.610016064224</v>
      </c>
      <c r="CB30" s="15"/>
      <c r="CC30" s="15"/>
      <c r="CD30" s="15"/>
      <c r="CE30" s="8"/>
      <c r="CF30" s="8"/>
      <c r="CG30" s="8"/>
      <c r="CK30" s="15"/>
      <c r="CL30" s="15"/>
      <c r="CM30" s="15"/>
      <c r="CN30" s="15"/>
      <c r="CO30" s="8">
        <v>6.7094402700662634</v>
      </c>
      <c r="CP30" s="8">
        <v>0</v>
      </c>
      <c r="CQ30" s="56">
        <v>36647</v>
      </c>
      <c r="CR30" s="8">
        <v>0</v>
      </c>
      <c r="CS30" s="8">
        <v>0</v>
      </c>
      <c r="CT30" s="8">
        <v>0</v>
      </c>
      <c r="CU30" s="8">
        <v>0</v>
      </c>
      <c r="DF30">
        <f t="shared" ref="DF30:DG30" si="68">DF8</f>
        <v>2005</v>
      </c>
      <c r="DG30" s="8">
        <f t="shared" si="68"/>
        <v>8262</v>
      </c>
      <c r="DH30" s="8">
        <f t="shared" si="50"/>
        <v>47246.430540691472</v>
      </c>
      <c r="DI30">
        <v>0</v>
      </c>
      <c r="DQ30">
        <f t="shared" si="51"/>
        <v>2005</v>
      </c>
      <c r="DR30" s="8">
        <f t="shared" si="54"/>
        <v>8262</v>
      </c>
      <c r="DS30" s="8">
        <f t="shared" si="55"/>
        <v>8969.4810873062288</v>
      </c>
    </row>
    <row r="31" spans="1:143" x14ac:dyDescent="0.25">
      <c r="A31" s="38">
        <v>2002</v>
      </c>
      <c r="B31" s="8">
        <v>965.85446353070438</v>
      </c>
      <c r="C31" s="8">
        <v>2080.8913192749001</v>
      </c>
      <c r="D31" s="8">
        <v>0</v>
      </c>
      <c r="E31" s="8">
        <v>0</v>
      </c>
      <c r="F31" s="11">
        <v>104.991043414</v>
      </c>
      <c r="G31" s="8">
        <f t="shared" si="60"/>
        <v>965.85446353070438</v>
      </c>
      <c r="H31" s="8">
        <f t="shared" si="61"/>
        <v>2080.8913192749001</v>
      </c>
      <c r="I31" s="8">
        <v>1100.1801528930662</v>
      </c>
      <c r="J31" s="8">
        <v>54321.962675140006</v>
      </c>
      <c r="K31" s="8">
        <f t="shared" si="66"/>
        <v>55624.709759260477</v>
      </c>
      <c r="L31" s="8">
        <v>28891</v>
      </c>
      <c r="N31">
        <v>0.97314071155929971</v>
      </c>
      <c r="O31">
        <v>8652.0453292145667</v>
      </c>
      <c r="P31" t="e">
        <v>#N/A</v>
      </c>
      <c r="Q31" t="e">
        <v>#N/A</v>
      </c>
      <c r="R31" t="e">
        <v>#N/A</v>
      </c>
      <c r="S31" t="e">
        <v>#N/A</v>
      </c>
      <c r="AG31">
        <v>2000</v>
      </c>
      <c r="AH31">
        <v>5</v>
      </c>
      <c r="AI31" s="51">
        <v>116.51405173540117</v>
      </c>
      <c r="AJ31" s="51">
        <v>0</v>
      </c>
      <c r="AT31">
        <v>2001</v>
      </c>
      <c r="AU31" s="8">
        <v>3270.975102990863</v>
      </c>
      <c r="AV31" s="8">
        <v>55571.977893918753</v>
      </c>
      <c r="AW31" s="11">
        <v>239.28864257999999</v>
      </c>
      <c r="AX31" s="8">
        <v>82</v>
      </c>
      <c r="AY31" s="8">
        <v>62541</v>
      </c>
      <c r="AZ31" s="8">
        <f t="shared" si="67"/>
        <v>57953.715548631626</v>
      </c>
      <c r="BB31">
        <v>2001</v>
      </c>
      <c r="BC31" s="8">
        <v>3270.975102990863</v>
      </c>
      <c r="BD31" s="8">
        <v>55571.977893918753</v>
      </c>
      <c r="BE31" s="8">
        <f t="shared" ref="BE31:BE43" si="69">BF30</f>
        <v>45741</v>
      </c>
      <c r="BF31" s="8">
        <v>62541</v>
      </c>
      <c r="BG31">
        <f t="shared" si="62"/>
        <v>2001</v>
      </c>
      <c r="BH31">
        <f t="shared" si="63"/>
        <v>62541</v>
      </c>
      <c r="BI31" s="8">
        <f t="shared" si="64"/>
        <v>60346.331543243439</v>
      </c>
      <c r="CB31" s="15"/>
      <c r="CC31" s="15"/>
      <c r="CD31" s="15"/>
      <c r="CE31" s="8"/>
      <c r="CF31" s="8"/>
      <c r="CG31" s="8"/>
      <c r="CK31" s="15"/>
      <c r="CL31" s="15"/>
      <c r="CM31" s="15"/>
      <c r="CN31" s="15"/>
      <c r="CO31" s="8">
        <v>19.375671491026882</v>
      </c>
      <c r="CP31" s="8">
        <v>0</v>
      </c>
      <c r="CQ31" s="56">
        <v>36678</v>
      </c>
      <c r="CR31" s="8">
        <v>0</v>
      </c>
      <c r="CS31" s="8">
        <v>0</v>
      </c>
      <c r="CT31" s="8">
        <v>0</v>
      </c>
      <c r="CU31" s="8">
        <v>0</v>
      </c>
      <c r="DF31">
        <f t="shared" ref="DF31:DG31" si="70">DF9</f>
        <v>2006</v>
      </c>
      <c r="DG31" s="8">
        <f t="shared" si="70"/>
        <v>3288</v>
      </c>
      <c r="DH31" s="8">
        <f t="shared" si="50"/>
        <v>20890.573378767858</v>
      </c>
      <c r="DI31">
        <v>0</v>
      </c>
      <c r="DQ31">
        <f t="shared" si="51"/>
        <v>2006</v>
      </c>
      <c r="DR31" s="8">
        <f t="shared" si="54"/>
        <v>3288</v>
      </c>
      <c r="DS31" s="8">
        <f t="shared" si="55"/>
        <v>3965.9631569936359</v>
      </c>
    </row>
    <row r="32" spans="1:143" x14ac:dyDescent="0.25">
      <c r="A32" s="38">
        <v>2003</v>
      </c>
      <c r="B32" s="8">
        <v>7963.0698840403966</v>
      </c>
      <c r="C32" s="8">
        <v>5086.2455196231649</v>
      </c>
      <c r="D32" s="8">
        <v>3532.64404296875</v>
      </c>
      <c r="E32" s="8">
        <v>0</v>
      </c>
      <c r="F32" s="11">
        <v>180.794552084</v>
      </c>
      <c r="G32" s="8">
        <f t="shared" si="60"/>
        <v>7963.0698840403966</v>
      </c>
      <c r="H32" s="8">
        <f t="shared" si="61"/>
        <v>8618.889562591914</v>
      </c>
      <c r="I32" s="8">
        <v>1053.3096046447756</v>
      </c>
      <c r="J32" s="8">
        <v>19336.590810962953</v>
      </c>
      <c r="K32" s="8">
        <f t="shared" si="66"/>
        <v>28891</v>
      </c>
      <c r="L32" s="8">
        <v>17127</v>
      </c>
      <c r="N32">
        <v>54.346602314565686</v>
      </c>
      <c r="O32">
        <v>9</v>
      </c>
      <c r="P32" t="e">
        <v>#N/A</v>
      </c>
      <c r="Q32" t="e">
        <v>#N/A</v>
      </c>
      <c r="R32" t="e">
        <v>#N/A</v>
      </c>
      <c r="S32" t="e">
        <v>#N/A</v>
      </c>
      <c r="AG32">
        <v>2000</v>
      </c>
      <c r="AH32">
        <v>6</v>
      </c>
      <c r="AI32" s="51">
        <v>345.94582957029343</v>
      </c>
      <c r="AJ32" s="51">
        <v>0</v>
      </c>
      <c r="AT32">
        <v>2002</v>
      </c>
      <c r="AU32" s="8">
        <v>45979.222311034813</v>
      </c>
      <c r="AV32" s="8">
        <v>1255.0271301269499</v>
      </c>
      <c r="AW32" s="11">
        <v>104.991043414</v>
      </c>
      <c r="AX32" s="8">
        <v>22</v>
      </c>
      <c r="AY32" s="8">
        <v>42588</v>
      </c>
      <c r="AZ32" s="8">
        <f t="shared" si="67"/>
        <v>24143.591937878118</v>
      </c>
      <c r="BB32">
        <v>2002</v>
      </c>
      <c r="BC32" s="8">
        <v>45979.222311034813</v>
      </c>
      <c r="BD32" s="8">
        <v>1255.0271301269499</v>
      </c>
      <c r="BE32" s="8">
        <f t="shared" si="69"/>
        <v>62541</v>
      </c>
      <c r="BF32" s="8">
        <v>42588</v>
      </c>
      <c r="BG32">
        <f t="shared" si="62"/>
        <v>2002</v>
      </c>
      <c r="BH32">
        <f t="shared" si="63"/>
        <v>42588</v>
      </c>
      <c r="BI32" s="8">
        <f t="shared" si="64"/>
        <v>51426.224275668297</v>
      </c>
      <c r="CB32" s="15"/>
      <c r="CC32" s="15"/>
      <c r="CD32" s="15"/>
      <c r="CE32" s="8"/>
      <c r="CF32" s="8"/>
      <c r="CG32" s="8"/>
      <c r="CK32" s="15"/>
      <c r="CL32" s="15"/>
      <c r="CM32" s="15"/>
      <c r="CN32" s="15"/>
      <c r="CO32" s="8">
        <v>33.084044510126112</v>
      </c>
      <c r="CP32" s="8">
        <v>0</v>
      </c>
      <c r="CQ32" s="56">
        <v>36708</v>
      </c>
      <c r="CR32" s="8">
        <v>0</v>
      </c>
      <c r="CS32" s="8">
        <v>3.05150598287582</v>
      </c>
      <c r="CT32" s="8">
        <v>0</v>
      </c>
      <c r="CU32" s="8">
        <v>0</v>
      </c>
      <c r="DF32">
        <f t="shared" ref="DF32:DG32" si="71">DF10</f>
        <v>2007</v>
      </c>
      <c r="DG32" s="8">
        <f t="shared" si="71"/>
        <v>0</v>
      </c>
      <c r="DH32" s="8">
        <f t="shared" si="50"/>
        <v>8522.3285956796644</v>
      </c>
      <c r="DI32">
        <v>0</v>
      </c>
      <c r="DQ32">
        <f t="shared" si="51"/>
        <v>2007</v>
      </c>
      <c r="DR32" s="8">
        <f t="shared" si="54"/>
        <v>0</v>
      </c>
      <c r="DS32" s="8">
        <f t="shared" si="55"/>
        <v>1617.9183122187892</v>
      </c>
    </row>
    <row r="33" spans="1:123" x14ac:dyDescent="0.25">
      <c r="A33" s="38">
        <v>2004</v>
      </c>
      <c r="B33" s="8">
        <v>7603.4144827071605</v>
      </c>
      <c r="C33" s="8">
        <v>16633.945985674851</v>
      </c>
      <c r="D33" s="8">
        <v>36434.05859375</v>
      </c>
      <c r="E33" s="8">
        <v>0</v>
      </c>
      <c r="F33" s="11">
        <v>208.85484764</v>
      </c>
      <c r="G33" s="8">
        <f t="shared" si="60"/>
        <v>7603.4144827071605</v>
      </c>
      <c r="H33" s="8">
        <f t="shared" si="61"/>
        <v>53068.004579424851</v>
      </c>
      <c r="I33" s="8">
        <v>855.42309951782215</v>
      </c>
      <c r="J33" s="8">
        <v>10879.613757684827</v>
      </c>
      <c r="K33" s="8">
        <f t="shared" si="66"/>
        <v>17127</v>
      </c>
      <c r="L33" s="8">
        <v>37022.200000000012</v>
      </c>
      <c r="N33">
        <v>24409631338.979404</v>
      </c>
      <c r="O33">
        <v>673720995.40905237</v>
      </c>
      <c r="P33" t="e">
        <v>#N/A</v>
      </c>
      <c r="Q33" t="e">
        <v>#N/A</v>
      </c>
      <c r="R33" t="e">
        <v>#N/A</v>
      </c>
      <c r="S33" t="e">
        <v>#N/A</v>
      </c>
      <c r="AG33">
        <v>2000</v>
      </c>
      <c r="AH33">
        <v>7</v>
      </c>
      <c r="AI33" s="51">
        <v>3206.8799802064896</v>
      </c>
      <c r="AJ33" s="51">
        <v>0</v>
      </c>
      <c r="AT33">
        <v>2003</v>
      </c>
      <c r="AU33" s="8">
        <v>19307.682086256329</v>
      </c>
      <c r="AV33" s="8">
        <v>4605.0938751697477</v>
      </c>
      <c r="AW33" s="11">
        <v>180.794552084</v>
      </c>
      <c r="AX33" s="8">
        <v>11</v>
      </c>
      <c r="AY33" s="8">
        <v>26394</v>
      </c>
      <c r="AZ33" s="8">
        <f t="shared" si="67"/>
        <v>22508.536316458401</v>
      </c>
      <c r="BB33">
        <v>2003</v>
      </c>
      <c r="BC33" s="8">
        <v>19307.682086256329</v>
      </c>
      <c r="BD33" s="8">
        <v>4605.0938751697477</v>
      </c>
      <c r="BE33" s="8">
        <f t="shared" si="69"/>
        <v>42588</v>
      </c>
      <c r="BF33" s="8">
        <v>26394</v>
      </c>
      <c r="BG33">
        <f t="shared" si="62"/>
        <v>2003</v>
      </c>
      <c r="BH33">
        <f t="shared" si="63"/>
        <v>26394</v>
      </c>
      <c r="BI33" s="8">
        <f t="shared" si="64"/>
        <v>33191.087481456576</v>
      </c>
      <c r="CB33" s="15"/>
      <c r="CC33" s="15"/>
      <c r="CD33" s="15"/>
      <c r="CE33" s="8"/>
      <c r="CF33" s="8"/>
      <c r="CG33" s="8"/>
      <c r="CK33" s="15"/>
      <c r="CL33" s="15"/>
      <c r="CM33" s="15"/>
      <c r="CN33" s="15"/>
      <c r="CO33" s="8">
        <v>48.142211510986087</v>
      </c>
      <c r="CP33" s="8">
        <v>3.0647667884826655</v>
      </c>
      <c r="CQ33" s="56">
        <v>36739</v>
      </c>
      <c r="CR33" s="8">
        <v>0</v>
      </c>
      <c r="CS33" s="8">
        <v>17.681942224502571</v>
      </c>
      <c r="CT33" s="8">
        <v>0</v>
      </c>
      <c r="CU33" s="8">
        <v>0</v>
      </c>
      <c r="DF33">
        <f t="shared" ref="DF33:DG33" si="72">DF11</f>
        <v>2008</v>
      </c>
      <c r="DG33" s="8">
        <f t="shared" si="72"/>
        <v>326.43000000000006</v>
      </c>
      <c r="DH33" s="8">
        <f t="shared" si="50"/>
        <v>35120.049872641859</v>
      </c>
      <c r="DI33">
        <v>0</v>
      </c>
      <c r="DQ33">
        <f t="shared" si="51"/>
        <v>2008</v>
      </c>
      <c r="DR33" s="8">
        <f t="shared" si="54"/>
        <v>326.43000000000006</v>
      </c>
      <c r="DS33" s="8">
        <f t="shared" si="55"/>
        <v>6667.3528457691273</v>
      </c>
    </row>
    <row r="34" spans="1:123" x14ac:dyDescent="0.25">
      <c r="A34" s="38">
        <v>2005</v>
      </c>
      <c r="B34" s="8">
        <v>43280.050962233909</v>
      </c>
      <c r="C34" s="8">
        <v>24233.674858525395</v>
      </c>
      <c r="D34" s="8">
        <v>31094.88037109375</v>
      </c>
      <c r="E34" s="8">
        <v>0</v>
      </c>
      <c r="F34" s="11">
        <v>355.68716541999999</v>
      </c>
      <c r="G34" s="8">
        <f t="shared" si="60"/>
        <v>43280.050962233909</v>
      </c>
      <c r="H34" s="8">
        <f t="shared" si="61"/>
        <v>55328.555229619145</v>
      </c>
      <c r="I34" s="8">
        <v>568.44998931884754</v>
      </c>
      <c r="J34" s="8">
        <v>2233.0955747365965</v>
      </c>
      <c r="K34" s="8">
        <f t="shared" si="66"/>
        <v>37022.200000000012</v>
      </c>
      <c r="L34" s="8">
        <v>45696</v>
      </c>
      <c r="AG34">
        <v>2000</v>
      </c>
      <c r="AH34">
        <v>8</v>
      </c>
      <c r="AI34" s="51">
        <v>4300.7932150252191</v>
      </c>
      <c r="AJ34" s="51">
        <v>0</v>
      </c>
      <c r="AT34">
        <v>2004</v>
      </c>
      <c r="AU34" s="8">
        <v>15587.23692364222</v>
      </c>
      <c r="AV34" s="8">
        <v>14537.273382782934</v>
      </c>
      <c r="AW34" s="11">
        <v>208.85484764</v>
      </c>
      <c r="AX34" s="8">
        <v>28</v>
      </c>
      <c r="AY34" s="8">
        <v>35615</v>
      </c>
      <c r="AZ34" s="8">
        <f t="shared" si="67"/>
        <v>31033.526098562776</v>
      </c>
      <c r="BB34">
        <v>2004</v>
      </c>
      <c r="BC34" s="8">
        <v>15587.23692364222</v>
      </c>
      <c r="BD34" s="8">
        <v>14537.273382782934</v>
      </c>
      <c r="BE34" s="8">
        <f t="shared" si="69"/>
        <v>26394</v>
      </c>
      <c r="BF34" s="8">
        <v>35615</v>
      </c>
      <c r="BG34">
        <f t="shared" si="62"/>
        <v>2004</v>
      </c>
      <c r="BH34">
        <f t="shared" si="63"/>
        <v>35615</v>
      </c>
      <c r="BI34" s="8">
        <f t="shared" si="64"/>
        <v>28883.759564112243</v>
      </c>
      <c r="CB34" s="15"/>
      <c r="CC34" s="15"/>
      <c r="CD34" s="15"/>
      <c r="CE34" s="8"/>
      <c r="CF34" s="8"/>
      <c r="CG34" s="8"/>
      <c r="CK34" s="15"/>
      <c r="CL34" s="15"/>
      <c r="CM34" s="15"/>
      <c r="CN34" s="15"/>
      <c r="CO34" s="8">
        <v>1121.5419910043479</v>
      </c>
      <c r="CP34" s="8">
        <v>24.682586920261393</v>
      </c>
      <c r="CQ34" s="56">
        <v>36770</v>
      </c>
      <c r="CR34" s="8">
        <v>673.77489364019141</v>
      </c>
      <c r="CS34" s="8">
        <v>41.405976295471199</v>
      </c>
      <c r="CT34" s="8">
        <v>0</v>
      </c>
      <c r="CU34" s="8">
        <v>0</v>
      </c>
      <c r="DF34">
        <f t="shared" ref="DF34:DG34" si="73">DF12</f>
        <v>2009</v>
      </c>
      <c r="DG34" s="8">
        <f t="shared" si="73"/>
        <v>1619.08</v>
      </c>
      <c r="DH34" s="8">
        <f t="shared" si="50"/>
        <v>36945.843057709011</v>
      </c>
      <c r="DI34">
        <v>0</v>
      </c>
      <c r="DQ34">
        <f t="shared" si="51"/>
        <v>2009</v>
      </c>
      <c r="DR34" s="8">
        <f t="shared" si="54"/>
        <v>1619.08</v>
      </c>
      <c r="DS34" s="8">
        <f t="shared" si="55"/>
        <v>7013.9698759951052</v>
      </c>
    </row>
    <row r="35" spans="1:123" x14ac:dyDescent="0.25">
      <c r="A35" s="38">
        <v>2006</v>
      </c>
      <c r="B35" s="8">
        <v>513.14926342479885</v>
      </c>
      <c r="C35" s="8">
        <v>0</v>
      </c>
      <c r="D35" s="8">
        <v>0</v>
      </c>
      <c r="E35" s="8">
        <v>0</v>
      </c>
      <c r="F35" s="11">
        <v>178.04459844300001</v>
      </c>
      <c r="G35" s="8">
        <f t="shared" si="60"/>
        <v>513.14926342479885</v>
      </c>
      <c r="H35" s="8">
        <f t="shared" si="61"/>
        <v>0</v>
      </c>
      <c r="I35" s="8">
        <v>1383.7095527648926</v>
      </c>
      <c r="J35" s="8">
        <v>22196.350869037211</v>
      </c>
      <c r="K35" s="8">
        <f t="shared" si="66"/>
        <v>45696</v>
      </c>
      <c r="L35" s="8">
        <v>21990</v>
      </c>
      <c r="AG35">
        <v>2000</v>
      </c>
      <c r="AH35">
        <v>9</v>
      </c>
      <c r="AI35" s="51">
        <v>31773.29493388905</v>
      </c>
      <c r="AJ35" s="51">
        <v>0</v>
      </c>
      <c r="AT35">
        <v>2005</v>
      </c>
      <c r="AU35" s="8">
        <v>41404.82236080373</v>
      </c>
      <c r="AV35" s="8">
        <v>19389.000976458185</v>
      </c>
      <c r="AW35" s="11">
        <v>355.68716541999999</v>
      </c>
      <c r="AX35" s="8">
        <v>33</v>
      </c>
      <c r="AY35" s="8">
        <v>42153</v>
      </c>
      <c r="AZ35" s="8">
        <f t="shared" si="67"/>
        <v>51820.774746166077</v>
      </c>
      <c r="BB35">
        <v>2005</v>
      </c>
      <c r="BC35" s="8">
        <v>41404.82236080373</v>
      </c>
      <c r="BD35" s="8">
        <v>19389.000976458185</v>
      </c>
      <c r="BE35" s="8">
        <f t="shared" si="69"/>
        <v>35615</v>
      </c>
      <c r="BF35" s="8">
        <v>42153</v>
      </c>
      <c r="BG35">
        <f t="shared" si="62"/>
        <v>2005</v>
      </c>
      <c r="BH35">
        <f t="shared" si="63"/>
        <v>42153</v>
      </c>
      <c r="BI35" s="8">
        <f t="shared" si="64"/>
        <v>45795.866972257587</v>
      </c>
      <c r="CB35" s="15"/>
      <c r="CC35" s="15"/>
      <c r="CD35" s="15"/>
      <c r="CE35" s="8"/>
      <c r="CF35" s="8"/>
      <c r="CG35" s="8"/>
      <c r="CK35" s="15"/>
      <c r="CL35" s="15"/>
      <c r="CM35" s="15"/>
      <c r="CN35" s="15"/>
      <c r="CO35" s="8">
        <v>422.88720742873858</v>
      </c>
      <c r="CP35" s="8">
        <v>51.981679689884167</v>
      </c>
      <c r="CQ35" s="56">
        <v>36800</v>
      </c>
      <c r="CR35" s="8">
        <v>506.8162958859466</v>
      </c>
      <c r="CS35" s="8">
        <v>37.861331462860143</v>
      </c>
      <c r="CT35" s="8">
        <v>0</v>
      </c>
      <c r="CU35" s="8">
        <v>0</v>
      </c>
      <c r="DF35">
        <f t="shared" ref="DF35:DG35" si="74">DF13</f>
        <v>2010</v>
      </c>
      <c r="DG35" s="8">
        <f t="shared" si="74"/>
        <v>5162.46</v>
      </c>
      <c r="DH35" s="8">
        <f t="shared" si="50"/>
        <v>76478.08824429175</v>
      </c>
      <c r="DI35">
        <v>0</v>
      </c>
      <c r="DQ35">
        <f t="shared" si="51"/>
        <v>2010</v>
      </c>
      <c r="DR35" s="8">
        <f t="shared" si="54"/>
        <v>5162.46</v>
      </c>
      <c r="DS35" s="8">
        <f t="shared" si="55"/>
        <v>14518.954305123942</v>
      </c>
    </row>
    <row r="36" spans="1:123" x14ac:dyDescent="0.25">
      <c r="A36" s="38">
        <v>2007</v>
      </c>
      <c r="B36" s="8">
        <v>4644.5101706050336</v>
      </c>
      <c r="C36" s="8">
        <v>0</v>
      </c>
      <c r="D36" s="8">
        <v>0</v>
      </c>
      <c r="E36" s="8">
        <v>0</v>
      </c>
      <c r="F36" s="11">
        <v>215.92631574699999</v>
      </c>
      <c r="G36" s="8">
        <f t="shared" si="60"/>
        <v>4644.5101706050336</v>
      </c>
      <c r="H36" s="8">
        <f t="shared" si="61"/>
        <v>0</v>
      </c>
      <c r="I36" s="8">
        <v>999.14529037475609</v>
      </c>
      <c r="J36" s="8">
        <v>10930.622542868601</v>
      </c>
      <c r="K36" s="8">
        <f t="shared" si="66"/>
        <v>21990</v>
      </c>
      <c r="L36" s="8">
        <v>6752.869999999999</v>
      </c>
      <c r="AG36">
        <v>2000</v>
      </c>
      <c r="AH36">
        <v>10</v>
      </c>
      <c r="AI36" s="51">
        <v>10603.898746075112</v>
      </c>
      <c r="AJ36" s="51">
        <v>0</v>
      </c>
      <c r="AK36">
        <f>AG36</f>
        <v>2000</v>
      </c>
      <c r="AL36" s="8">
        <f>SUM(AI33:AI36)</f>
        <v>49884.866875195876</v>
      </c>
      <c r="AM36" s="8">
        <f>SUM(AJ25:AJ36)</f>
        <v>0</v>
      </c>
      <c r="AT36">
        <v>2006</v>
      </c>
      <c r="AU36" s="8">
        <v>18168.336133612316</v>
      </c>
      <c r="AV36" s="8">
        <v>0</v>
      </c>
      <c r="AW36" s="11">
        <v>178.04459844300001</v>
      </c>
      <c r="AX36" s="8">
        <v>8</v>
      </c>
      <c r="AY36" s="8">
        <v>23811</v>
      </c>
      <c r="AZ36" s="8">
        <f t="shared" si="67"/>
        <v>19389.094155296756</v>
      </c>
      <c r="BB36">
        <v>2006</v>
      </c>
      <c r="BC36" s="8">
        <v>18168.336133612316</v>
      </c>
      <c r="BD36" s="8">
        <v>0</v>
      </c>
      <c r="BE36" s="8">
        <f t="shared" si="69"/>
        <v>42153</v>
      </c>
      <c r="BF36" s="8">
        <v>23811</v>
      </c>
      <c r="BG36">
        <f t="shared" si="62"/>
        <v>2006</v>
      </c>
      <c r="BH36">
        <f t="shared" si="63"/>
        <v>23811</v>
      </c>
      <c r="BI36" s="8">
        <f t="shared" si="64"/>
        <v>29769.43583795114</v>
      </c>
      <c r="CB36" s="15"/>
      <c r="CC36" s="15"/>
      <c r="CD36" s="15"/>
      <c r="CE36" s="8"/>
      <c r="CF36" s="10"/>
      <c r="CG36" s="8"/>
      <c r="CH36" s="8"/>
      <c r="CK36" s="15"/>
      <c r="CL36" s="15"/>
      <c r="CM36" s="15"/>
      <c r="CN36" s="15"/>
      <c r="CO36" s="8">
        <v>250.65398359894749</v>
      </c>
      <c r="CP36" s="8">
        <v>4040.8926546138605</v>
      </c>
      <c r="CQ36" s="56">
        <v>36831</v>
      </c>
      <c r="CR36" s="8">
        <v>228.52003692090517</v>
      </c>
      <c r="CS36" s="8">
        <v>6166.1764385998249</v>
      </c>
      <c r="CT36" s="8">
        <v>0</v>
      </c>
      <c r="CU36" s="8">
        <v>1799.1</v>
      </c>
      <c r="CV36" s="56">
        <f>CQ36</f>
        <v>36831</v>
      </c>
      <c r="CW36" s="8">
        <f>SUM(CR32:CR40)+SUM(CO32:CO40)</f>
        <v>5667.0068185647251</v>
      </c>
      <c r="CX36" s="8">
        <f>SUM(CS24:CS35)+SUM(CP24:CP35)</f>
        <v>17394.388291974454</v>
      </c>
      <c r="CY36" s="8">
        <f t="shared" ref="CY36" si="75">SUM(CT24:CT35)</f>
        <v>0</v>
      </c>
      <c r="CZ36" s="8">
        <f>SUM(CU24:CU35)</f>
        <v>2957.9750000000004</v>
      </c>
      <c r="DF36">
        <f t="shared" ref="DF36:DG36" si="76">DF14</f>
        <v>2011</v>
      </c>
      <c r="DG36" s="8">
        <f t="shared" si="76"/>
        <v>2089.2599999999998</v>
      </c>
      <c r="DH36" s="8">
        <f t="shared" si="50"/>
        <v>62610.446485745299</v>
      </c>
      <c r="DI36">
        <v>0</v>
      </c>
      <c r="DQ36">
        <f t="shared" si="51"/>
        <v>2011</v>
      </c>
      <c r="DR36" s="8">
        <f t="shared" si="54"/>
        <v>2089.2599999999998</v>
      </c>
      <c r="DS36" s="8">
        <f t="shared" si="55"/>
        <v>11886.256997510573</v>
      </c>
    </row>
    <row r="37" spans="1:123" x14ac:dyDescent="0.25">
      <c r="A37" s="38">
        <v>2008</v>
      </c>
      <c r="B37" s="8">
        <v>2283.1128051169221</v>
      </c>
      <c r="C37" s="8">
        <v>0</v>
      </c>
      <c r="D37" s="8">
        <v>0</v>
      </c>
      <c r="E37" s="8">
        <v>0</v>
      </c>
      <c r="F37" s="11">
        <v>225.98494921999998</v>
      </c>
      <c r="G37" s="8">
        <f t="shared" si="60"/>
        <v>2283.1128051169221</v>
      </c>
      <c r="H37" s="8">
        <f t="shared" si="61"/>
        <v>0</v>
      </c>
      <c r="I37" s="8">
        <v>1288.7399024963381</v>
      </c>
      <c r="J37" s="8">
        <v>14067.782908434048</v>
      </c>
      <c r="K37" s="8">
        <f t="shared" si="66"/>
        <v>6752.869999999999</v>
      </c>
      <c r="L37" s="8">
        <v>22024</v>
      </c>
      <c r="AG37">
        <v>2000</v>
      </c>
      <c r="AH37">
        <v>11</v>
      </c>
      <c r="AI37" s="51">
        <v>84434.954882596401</v>
      </c>
      <c r="AJ37" s="51">
        <v>27096.714374542236</v>
      </c>
      <c r="AT37">
        <v>2007</v>
      </c>
      <c r="AU37" s="8">
        <v>10752.400651395204</v>
      </c>
      <c r="AV37" s="8">
        <v>0</v>
      </c>
      <c r="AW37" s="11">
        <v>215.92631574699999</v>
      </c>
      <c r="AX37" s="8">
        <v>5</v>
      </c>
      <c r="AY37" s="8">
        <v>18458</v>
      </c>
      <c r="AZ37" s="8">
        <f t="shared" si="67"/>
        <v>19771.141764296826</v>
      </c>
      <c r="BB37">
        <v>2007</v>
      </c>
      <c r="BC37" s="8">
        <v>10752.400651395204</v>
      </c>
      <c r="BD37" s="8">
        <v>0</v>
      </c>
      <c r="BE37" s="8">
        <f t="shared" si="69"/>
        <v>23811</v>
      </c>
      <c r="BF37" s="8">
        <v>18458</v>
      </c>
      <c r="BG37">
        <f t="shared" si="62"/>
        <v>2007</v>
      </c>
      <c r="BH37">
        <f t="shared" si="63"/>
        <v>18458</v>
      </c>
      <c r="BI37" s="8">
        <f t="shared" si="64"/>
        <v>16983.138828510826</v>
      </c>
      <c r="CB37" s="15"/>
      <c r="CC37" s="15"/>
      <c r="CD37" s="15"/>
      <c r="CE37" s="8"/>
      <c r="CF37" s="8"/>
      <c r="CG37" s="8"/>
      <c r="CK37" s="15"/>
      <c r="CL37" s="15"/>
      <c r="CM37" s="15"/>
      <c r="CN37" s="15"/>
      <c r="CO37" s="8">
        <v>32.251454009115697</v>
      </c>
      <c r="CP37" s="8">
        <v>382.15809246568278</v>
      </c>
      <c r="CQ37" s="56">
        <v>36861</v>
      </c>
      <c r="CR37" s="8">
        <v>238.97037911415103</v>
      </c>
      <c r="CS37" s="8">
        <v>10621.383912563324</v>
      </c>
      <c r="CT37" s="8">
        <v>0</v>
      </c>
      <c r="CU37" s="8">
        <v>2096.6</v>
      </c>
      <c r="CW37" s="8"/>
      <c r="CX37" s="8">
        <f>SUM(CS24:CS28)+SUM(CP24:CP28)</f>
        <v>16425.127097280412</v>
      </c>
      <c r="CY37" s="8">
        <f t="shared" ref="CY37" si="77">SUM(CT24:CT28)</f>
        <v>0</v>
      </c>
      <c r="CZ37" s="8">
        <f t="shared" ref="CZ37" si="78">SUM(CU24:CU28)</f>
        <v>2930.5320000000002</v>
      </c>
      <c r="DA37" s="8">
        <f>SUM(CX37:CZ37)</f>
        <v>19355.659097280412</v>
      </c>
      <c r="DF37">
        <f t="shared" ref="DF37:DG37" si="79">DF15</f>
        <v>2012</v>
      </c>
      <c r="DG37" s="8">
        <f t="shared" si="79"/>
        <v>9276.630000000001</v>
      </c>
      <c r="DH37" s="8">
        <f t="shared" si="50"/>
        <v>58986.893317760383</v>
      </c>
      <c r="DI37">
        <v>0</v>
      </c>
      <c r="DQ37">
        <f t="shared" si="51"/>
        <v>2012</v>
      </c>
      <c r="DR37" s="8">
        <f t="shared" si="54"/>
        <v>9276.630000000001</v>
      </c>
      <c r="DS37" s="8">
        <f t="shared" si="55"/>
        <v>11198.344889926126</v>
      </c>
    </row>
    <row r="38" spans="1:123" x14ac:dyDescent="0.25">
      <c r="A38" s="38">
        <v>2009</v>
      </c>
      <c r="B38" s="8">
        <v>0</v>
      </c>
      <c r="C38" s="8">
        <v>0</v>
      </c>
      <c r="D38" s="8">
        <v>0</v>
      </c>
      <c r="E38" s="8">
        <v>0</v>
      </c>
      <c r="F38" s="11">
        <v>170.56241915099997</v>
      </c>
      <c r="G38" s="8">
        <f t="shared" si="60"/>
        <v>0</v>
      </c>
      <c r="H38" s="8">
        <f t="shared" si="61"/>
        <v>0</v>
      </c>
      <c r="I38" s="8">
        <v>986.92578506469738</v>
      </c>
      <c r="J38" s="8">
        <v>5148.8100393657805</v>
      </c>
      <c r="K38" s="8">
        <f t="shared" si="66"/>
        <v>22024</v>
      </c>
      <c r="L38" s="8">
        <v>19512.88</v>
      </c>
      <c r="AG38">
        <v>2000</v>
      </c>
      <c r="AH38">
        <v>12</v>
      </c>
      <c r="AI38" s="51">
        <v>11460.877899033478</v>
      </c>
      <c r="AJ38" s="51">
        <v>56.5</v>
      </c>
      <c r="AT38">
        <v>2008</v>
      </c>
      <c r="AU38" s="8">
        <v>14041.042824413627</v>
      </c>
      <c r="AV38" s="8">
        <v>0</v>
      </c>
      <c r="AW38" s="11">
        <v>225.98494921999998</v>
      </c>
      <c r="AX38" s="8">
        <v>16</v>
      </c>
      <c r="AY38" s="8">
        <v>20228</v>
      </c>
      <c r="AZ38" s="8">
        <f t="shared" si="67"/>
        <v>23226.108590600994</v>
      </c>
      <c r="BB38">
        <v>2008</v>
      </c>
      <c r="BC38" s="8">
        <v>14041.042824413627</v>
      </c>
      <c r="BD38" s="8">
        <v>0</v>
      </c>
      <c r="BE38" s="8">
        <f t="shared" si="69"/>
        <v>18458</v>
      </c>
      <c r="BF38" s="8">
        <v>20228</v>
      </c>
      <c r="BG38">
        <f t="shared" si="62"/>
        <v>2008</v>
      </c>
      <c r="BH38">
        <f t="shared" si="63"/>
        <v>20228</v>
      </c>
      <c r="BI38" s="8">
        <f t="shared" si="64"/>
        <v>15114.179485285458</v>
      </c>
      <c r="CB38" s="15"/>
      <c r="CC38" s="15"/>
      <c r="CD38" s="15"/>
      <c r="CE38" s="8"/>
      <c r="CF38" s="8"/>
      <c r="CG38" s="8"/>
      <c r="CK38" s="15"/>
      <c r="CL38" s="15"/>
      <c r="CM38" s="15"/>
      <c r="CN38" s="15"/>
      <c r="CO38" s="8">
        <v>458.69218669831776</v>
      </c>
      <c r="CP38" s="8">
        <v>91.25395550727842</v>
      </c>
      <c r="CQ38" s="56">
        <v>36892</v>
      </c>
      <c r="CR38" s="8">
        <v>1211.4354782924056</v>
      </c>
      <c r="CS38" s="8">
        <v>410.1480464935301</v>
      </c>
      <c r="CT38" s="8">
        <v>0</v>
      </c>
      <c r="CU38" s="8">
        <v>1283.2</v>
      </c>
      <c r="DF38">
        <f t="shared" ref="DF38:DG38" si="80">DF16</f>
        <v>2013</v>
      </c>
      <c r="DG38" s="8">
        <f t="shared" si="80"/>
        <v>2955.23</v>
      </c>
      <c r="DH38" s="8">
        <f t="shared" si="50"/>
        <v>47154.15387226476</v>
      </c>
      <c r="DI38">
        <v>0</v>
      </c>
      <c r="DK38" t="s">
        <v>388</v>
      </c>
      <c r="DL38" t="s">
        <v>128</v>
      </c>
      <c r="DQ38">
        <f t="shared" si="51"/>
        <v>2013</v>
      </c>
      <c r="DR38" s="8">
        <f t="shared" si="54"/>
        <v>2955.23</v>
      </c>
      <c r="DS38" s="8">
        <f t="shared" si="55"/>
        <v>8951.9628574043927</v>
      </c>
    </row>
    <row r="39" spans="1:123" x14ac:dyDescent="0.25">
      <c r="A39" s="38">
        <v>2010</v>
      </c>
      <c r="B39" s="8">
        <v>116623.58968975709</v>
      </c>
      <c r="C39" s="8">
        <v>358.37734222412098</v>
      </c>
      <c r="D39" s="8">
        <v>0</v>
      </c>
      <c r="E39" s="8">
        <v>0</v>
      </c>
      <c r="F39" s="11">
        <v>379.97322238999999</v>
      </c>
      <c r="G39" s="8">
        <f t="shared" si="60"/>
        <v>116623.58968975709</v>
      </c>
      <c r="H39" s="8">
        <f t="shared" si="61"/>
        <v>358.37734222412098</v>
      </c>
      <c r="I39" s="8">
        <v>1078.7564048767094</v>
      </c>
      <c r="J39" s="8">
        <v>385.60958757497684</v>
      </c>
      <c r="K39" s="8">
        <f t="shared" si="66"/>
        <v>19512.88</v>
      </c>
      <c r="L39" s="8">
        <v>40425.879999999997</v>
      </c>
      <c r="AG39">
        <v>2001</v>
      </c>
      <c r="AH39">
        <v>1</v>
      </c>
      <c r="AI39" s="51">
        <v>10708.960190157404</v>
      </c>
      <c r="AJ39" s="51">
        <v>1853.9890747070301</v>
      </c>
      <c r="AT39">
        <v>2009</v>
      </c>
      <c r="AU39" s="8">
        <v>4677.1610972951157</v>
      </c>
      <c r="AV39" s="8">
        <v>0</v>
      </c>
      <c r="AW39" s="11">
        <v>170.56241915099997</v>
      </c>
      <c r="AX39" s="8">
        <v>0</v>
      </c>
      <c r="AY39" s="8">
        <v>23900</v>
      </c>
      <c r="AZ39" s="8">
        <f t="shared" si="67"/>
        <v>13956.020660045462</v>
      </c>
      <c r="BB39">
        <v>2009</v>
      </c>
      <c r="BC39" s="8">
        <v>4677.1610972951157</v>
      </c>
      <c r="BD39" s="8">
        <v>0</v>
      </c>
      <c r="BE39" s="8">
        <f t="shared" si="69"/>
        <v>20228</v>
      </c>
      <c r="BF39" s="8">
        <v>23900</v>
      </c>
      <c r="BG39">
        <f t="shared" si="62"/>
        <v>2009</v>
      </c>
      <c r="BH39">
        <f t="shared" si="63"/>
        <v>23900</v>
      </c>
      <c r="BI39" s="8">
        <f t="shared" si="64"/>
        <v>12905.040469536743</v>
      </c>
      <c r="CB39" s="15"/>
      <c r="CC39" s="15"/>
      <c r="CD39" s="15"/>
      <c r="CE39" s="8"/>
      <c r="CF39" s="8"/>
      <c r="CG39" s="8"/>
      <c r="CK39" s="15"/>
      <c r="CL39" s="15"/>
      <c r="CM39" s="15"/>
      <c r="CN39" s="15"/>
      <c r="CO39" s="8">
        <v>4.975596834719183</v>
      </c>
      <c r="CP39" s="8">
        <v>1859.9875872077887</v>
      </c>
      <c r="CQ39" s="56">
        <v>36923</v>
      </c>
      <c r="CR39" s="8">
        <v>170.3169605731965</v>
      </c>
      <c r="CS39" s="8">
        <v>12451.778706073761</v>
      </c>
      <c r="CT39" s="8">
        <v>52.856597900390589</v>
      </c>
      <c r="CU39" s="8">
        <v>4644.3999999999996</v>
      </c>
      <c r="DG39" t="s">
        <v>128</v>
      </c>
      <c r="DK39">
        <f t="array" ref="DK39:DL44">LINEST(DG24:DG33,DH24:DI33,0,1)</f>
        <v>7766.3066703438744</v>
      </c>
      <c r="DL39">
        <v>0.1795367391604098</v>
      </c>
    </row>
    <row r="40" spans="1:123" x14ac:dyDescent="0.25">
      <c r="A40" s="38">
        <v>2011</v>
      </c>
      <c r="B40" s="8">
        <v>6291.8704316614931</v>
      </c>
      <c r="C40" s="8">
        <v>0</v>
      </c>
      <c r="D40" s="8">
        <v>0</v>
      </c>
      <c r="E40" s="8">
        <v>0</v>
      </c>
      <c r="F40" s="11">
        <v>289.74016625100001</v>
      </c>
      <c r="G40" s="8">
        <f t="shared" si="60"/>
        <v>6291.8704316614931</v>
      </c>
      <c r="H40" s="8">
        <f t="shared" si="61"/>
        <v>0</v>
      </c>
      <c r="I40" s="8">
        <v>919.28643035888695</v>
      </c>
      <c r="J40" s="8">
        <v>39897.610872083693</v>
      </c>
      <c r="K40" s="8">
        <f t="shared" si="66"/>
        <v>40425.879999999997</v>
      </c>
      <c r="L40" s="8">
        <v>43791.020000000004</v>
      </c>
      <c r="AG40">
        <v>2001</v>
      </c>
      <c r="AH40">
        <v>2</v>
      </c>
      <c r="AI40" s="51">
        <v>26033.865006541135</v>
      </c>
      <c r="AJ40" s="51">
        <v>26146.274444669489</v>
      </c>
      <c r="AT40">
        <v>2010</v>
      </c>
      <c r="AU40" s="8">
        <v>99876.838858466028</v>
      </c>
      <c r="AV40" s="8">
        <v>308.51818466186501</v>
      </c>
      <c r="AW40" s="11">
        <v>379.97322238999999</v>
      </c>
      <c r="AX40" s="8">
        <v>25</v>
      </c>
      <c r="AY40" s="8">
        <v>51500</v>
      </c>
      <c r="AZ40" s="8">
        <f t="shared" si="67"/>
        <v>58856.805148119725</v>
      </c>
      <c r="BB40">
        <v>2010</v>
      </c>
      <c r="BC40" s="8">
        <v>99876.838858466028</v>
      </c>
      <c r="BD40" s="8">
        <v>308.51818466186501</v>
      </c>
      <c r="BE40" s="8">
        <f t="shared" si="69"/>
        <v>23900</v>
      </c>
      <c r="BF40" s="8">
        <v>51500</v>
      </c>
      <c r="BG40">
        <f t="shared" si="62"/>
        <v>2010</v>
      </c>
      <c r="BH40">
        <f t="shared" si="63"/>
        <v>51500</v>
      </c>
      <c r="BI40" s="8">
        <f t="shared" si="64"/>
        <v>47663.350787298346</v>
      </c>
      <c r="CB40" s="15"/>
      <c r="CC40" s="15"/>
      <c r="CD40" s="15"/>
      <c r="CE40" s="8"/>
      <c r="CF40" s="8"/>
      <c r="CG40" s="8"/>
      <c r="CK40" s="15"/>
      <c r="CL40" s="15"/>
      <c r="CM40" s="15"/>
      <c r="CN40" s="15"/>
      <c r="CO40" s="8">
        <v>5.127813886106015</v>
      </c>
      <c r="CP40" s="8">
        <v>570.60307223298594</v>
      </c>
      <c r="CQ40" s="56">
        <v>36951</v>
      </c>
      <c r="CR40" s="8">
        <v>259.81628465652472</v>
      </c>
      <c r="CS40" s="8">
        <v>6294.9356617927551</v>
      </c>
      <c r="CT40" s="8">
        <v>0</v>
      </c>
      <c r="CU40" s="8">
        <v>2470.3000000000002</v>
      </c>
      <c r="DG40">
        <f t="array" ref="DG40:DH44">LINEST(DG24:DG33,DH24:DH33,0,1)</f>
        <v>0.18984462920603434</v>
      </c>
      <c r="DH40">
        <v>0</v>
      </c>
      <c r="DK40">
        <v>3062.2724691097756</v>
      </c>
      <c r="DL40">
        <v>2.1871222630533302E-2</v>
      </c>
    </row>
    <row r="41" spans="1:123" x14ac:dyDescent="0.25">
      <c r="A41" s="38">
        <v>2012</v>
      </c>
      <c r="B41" s="8">
        <v>28083.790331691627</v>
      </c>
      <c r="C41" s="8">
        <v>62681.53778864444</v>
      </c>
      <c r="D41" s="8">
        <v>60149.296188354499</v>
      </c>
      <c r="E41" s="8">
        <v>117.671875</v>
      </c>
      <c r="F41" s="11">
        <v>204.859741493</v>
      </c>
      <c r="G41" s="8">
        <f t="shared" si="60"/>
        <v>28083.790331691627</v>
      </c>
      <c r="H41" s="8">
        <f t="shared" si="61"/>
        <v>122948.50585199894</v>
      </c>
      <c r="I41" s="8">
        <v>1400.3063812255862</v>
      </c>
      <c r="J41" s="8">
        <v>2852.1822808540901</v>
      </c>
      <c r="K41" s="8">
        <f t="shared" si="66"/>
        <v>43791.020000000004</v>
      </c>
      <c r="L41" s="8">
        <v>49144.070000000007</v>
      </c>
      <c r="AG41">
        <v>2001</v>
      </c>
      <c r="AH41">
        <v>3</v>
      </c>
      <c r="AI41" s="51">
        <v>12018.764804102469</v>
      </c>
      <c r="AJ41" s="51">
        <v>226</v>
      </c>
      <c r="AO41">
        <f>AG36</f>
        <v>2000</v>
      </c>
      <c r="AP41" s="8">
        <f>SUM(AI37:AI41)</f>
        <v>144657.42278243089</v>
      </c>
      <c r="AQ41" s="8">
        <f>SUM(AJ37:AJ41)</f>
        <v>55379.477893918753</v>
      </c>
      <c r="AT41">
        <v>2011</v>
      </c>
      <c r="AU41" s="8">
        <v>41060.488315779265</v>
      </c>
      <c r="AV41" s="8">
        <v>0</v>
      </c>
      <c r="AW41" s="11">
        <v>289.74016625100001</v>
      </c>
      <c r="AX41" s="8">
        <v>67</v>
      </c>
      <c r="AY41" s="8">
        <v>50607</v>
      </c>
      <c r="AZ41" s="8">
        <f t="shared" si="67"/>
        <v>43606.547343120881</v>
      </c>
      <c r="BB41">
        <v>2011</v>
      </c>
      <c r="BC41" s="8">
        <v>41060.488315779265</v>
      </c>
      <c r="BD41" s="8">
        <v>0</v>
      </c>
      <c r="BE41" s="8">
        <f t="shared" si="69"/>
        <v>51500</v>
      </c>
      <c r="BF41" s="8">
        <v>50607</v>
      </c>
      <c r="BG41">
        <f t="shared" si="62"/>
        <v>2011</v>
      </c>
      <c r="BH41">
        <f t="shared" si="63"/>
        <v>50607</v>
      </c>
      <c r="BI41" s="8">
        <f t="shared" si="64"/>
        <v>42814.001894209119</v>
      </c>
      <c r="CB41" s="15"/>
      <c r="CC41" s="15"/>
      <c r="CD41" s="15"/>
      <c r="CE41" s="8"/>
      <c r="CF41" s="8"/>
      <c r="CG41" s="8"/>
      <c r="CK41" s="15"/>
      <c r="CL41" s="15"/>
      <c r="CM41" s="15"/>
      <c r="CN41" s="15"/>
      <c r="CO41" s="8">
        <v>1.5863732665777213</v>
      </c>
      <c r="CP41" s="8">
        <v>151.22664691696437</v>
      </c>
      <c r="CQ41" s="56">
        <v>36982</v>
      </c>
      <c r="CR41" s="8">
        <v>0.48009628057479897</v>
      </c>
      <c r="CS41" s="8">
        <v>2283.8220567703252</v>
      </c>
      <c r="CT41" s="8">
        <v>0</v>
      </c>
      <c r="CU41" s="8">
        <v>167.33</v>
      </c>
      <c r="DG41">
        <v>2.7213376895600203E-2</v>
      </c>
      <c r="DH41" t="e">
        <v>#N/A</v>
      </c>
      <c r="DK41">
        <v>0.91348666443871318</v>
      </c>
      <c r="DL41">
        <v>3008.9310099702907</v>
      </c>
    </row>
    <row r="42" spans="1:123" x14ac:dyDescent="0.25">
      <c r="A42" s="38">
        <v>2013</v>
      </c>
      <c r="B42" s="8">
        <v>1395.9324777531438</v>
      </c>
      <c r="C42" s="8">
        <v>5332.6147036552429</v>
      </c>
      <c r="D42" s="8">
        <v>106.968505859375</v>
      </c>
      <c r="E42" s="8">
        <v>0</v>
      </c>
      <c r="F42" s="11">
        <v>171.61348105699997</v>
      </c>
      <c r="G42" s="8">
        <f t="shared" si="60"/>
        <v>1395.9324777531438</v>
      </c>
      <c r="H42" s="8">
        <f t="shared" si="61"/>
        <v>5439.5832095146179</v>
      </c>
      <c r="I42" s="8">
        <v>1385.018180847168</v>
      </c>
      <c r="J42" s="8">
        <v>60960.594038340263</v>
      </c>
      <c r="K42" s="8">
        <f t="shared" si="66"/>
        <v>49144.070000000007</v>
      </c>
      <c r="L42" s="8">
        <v>51727.76</v>
      </c>
      <c r="AG42">
        <v>2001</v>
      </c>
      <c r="AH42">
        <v>4</v>
      </c>
      <c r="AI42" s="51">
        <v>31.726652286946784</v>
      </c>
      <c r="AJ42" s="51">
        <v>0</v>
      </c>
      <c r="AT42">
        <v>2012</v>
      </c>
      <c r="AU42" s="8">
        <v>29500.265728737806</v>
      </c>
      <c r="AV42" s="8">
        <v>52032.055401578553</v>
      </c>
      <c r="AW42" s="11">
        <v>204.859741493</v>
      </c>
      <c r="AX42" s="8">
        <v>154</v>
      </c>
      <c r="AY42" s="8">
        <v>67361</v>
      </c>
      <c r="AZ42" s="8">
        <f t="shared" si="67"/>
        <v>72692.08199792009</v>
      </c>
      <c r="BB42">
        <v>2012</v>
      </c>
      <c r="BC42" s="8">
        <v>29500.265728737806</v>
      </c>
      <c r="BD42" s="8">
        <v>52032.055401578553</v>
      </c>
      <c r="BE42" s="8">
        <f t="shared" si="69"/>
        <v>50607</v>
      </c>
      <c r="BF42" s="8">
        <v>67361</v>
      </c>
      <c r="BG42">
        <f t="shared" si="62"/>
        <v>2012</v>
      </c>
      <c r="BH42">
        <f t="shared" si="63"/>
        <v>67361</v>
      </c>
      <c r="BI42" s="8">
        <f t="shared" si="64"/>
        <v>69881.819089930548</v>
      </c>
      <c r="CB42" s="15"/>
      <c r="CC42" s="15"/>
      <c r="CD42" s="15"/>
      <c r="CE42" s="8"/>
      <c r="CF42" s="8"/>
      <c r="CG42" s="8"/>
      <c r="CK42" s="15"/>
      <c r="CL42" s="15"/>
      <c r="CM42" s="15"/>
      <c r="CN42" s="15"/>
      <c r="CO42" s="8">
        <v>1.7425560861825933</v>
      </c>
      <c r="CP42" s="8">
        <v>0</v>
      </c>
      <c r="CQ42" s="56">
        <v>37012</v>
      </c>
      <c r="CR42" s="8">
        <v>0</v>
      </c>
      <c r="CS42" s="8">
        <v>0</v>
      </c>
      <c r="CT42" s="8">
        <v>0</v>
      </c>
      <c r="CU42" s="8">
        <v>9.0176999999999996</v>
      </c>
      <c r="DG42">
        <v>0.84393068326633125</v>
      </c>
      <c r="DH42">
        <v>3810.2476604378353</v>
      </c>
      <c r="DK42">
        <v>42.235646493671084</v>
      </c>
      <c r="DL42">
        <v>8</v>
      </c>
    </row>
    <row r="43" spans="1:123" x14ac:dyDescent="0.25">
      <c r="AG43">
        <v>2001</v>
      </c>
      <c r="AH43">
        <v>5</v>
      </c>
      <c r="AI43" s="51">
        <v>34.851121723651865</v>
      </c>
      <c r="AJ43" s="51">
        <v>0</v>
      </c>
      <c r="AT43">
        <v>2013</v>
      </c>
      <c r="AU43" s="8">
        <v>51367.934927148286</v>
      </c>
      <c r="AV43" s="8">
        <v>5087.3920499086444</v>
      </c>
      <c r="AW43" s="11">
        <v>171.61348105699997</v>
      </c>
      <c r="AX43" s="8">
        <v>77</v>
      </c>
      <c r="AY43" s="8">
        <v>63247</v>
      </c>
      <c r="AZ43" s="8">
        <f t="shared" si="67"/>
        <v>41499.660523781298</v>
      </c>
      <c r="BB43">
        <v>2013</v>
      </c>
      <c r="BC43" s="8">
        <v>51367.934927148286</v>
      </c>
      <c r="BD43" s="8">
        <v>5087.3920499086444</v>
      </c>
      <c r="BE43" s="8">
        <f t="shared" si="69"/>
        <v>67361</v>
      </c>
      <c r="BF43" s="8">
        <v>63247</v>
      </c>
      <c r="BG43">
        <f t="shared" si="62"/>
        <v>2013</v>
      </c>
      <c r="BH43">
        <f t="shared" si="63"/>
        <v>63247</v>
      </c>
      <c r="BI43" s="8">
        <f t="shared" si="64"/>
        <v>58282.556925187011</v>
      </c>
      <c r="CB43" s="15"/>
      <c r="CC43" s="15"/>
      <c r="CD43" s="15"/>
      <c r="CE43" s="8"/>
      <c r="CF43" s="8"/>
      <c r="CG43" s="8"/>
      <c r="CK43" s="15"/>
      <c r="CL43" s="15"/>
      <c r="CM43" s="15"/>
      <c r="CN43" s="15"/>
      <c r="CO43" s="8">
        <v>0.72313422262668614</v>
      </c>
      <c r="CP43" s="8">
        <v>0</v>
      </c>
      <c r="CQ43" s="56">
        <v>37043</v>
      </c>
      <c r="CR43" s="8">
        <v>0</v>
      </c>
      <c r="CS43" s="8">
        <v>0</v>
      </c>
      <c r="CT43" s="8">
        <v>0</v>
      </c>
      <c r="CU43" s="8">
        <v>3.0630999999999999</v>
      </c>
      <c r="DG43">
        <v>48.666684191092109</v>
      </c>
      <c r="DH43">
        <v>9</v>
      </c>
      <c r="DK43">
        <v>764774858.32391667</v>
      </c>
      <c r="DL43">
        <v>72429326.582086667</v>
      </c>
    </row>
    <row r="44" spans="1:123" ht="45" x14ac:dyDescent="0.25">
      <c r="F44" s="37" t="s">
        <v>142</v>
      </c>
      <c r="G44" s="37" t="s">
        <v>144</v>
      </c>
      <c r="H44" s="37" t="s">
        <v>147</v>
      </c>
      <c r="I44" s="37" t="s">
        <v>143</v>
      </c>
      <c r="J44" s="37" t="s">
        <v>145</v>
      </c>
      <c r="L44" s="37" t="s">
        <v>74</v>
      </c>
      <c r="N44" s="37" t="s">
        <v>151</v>
      </c>
      <c r="O44" s="37" t="s">
        <v>147</v>
      </c>
      <c r="P44" s="37" t="s">
        <v>150</v>
      </c>
      <c r="Q44" s="37" t="s">
        <v>149</v>
      </c>
      <c r="S44" s="37" t="s">
        <v>152</v>
      </c>
      <c r="T44" s="37" t="s">
        <v>153</v>
      </c>
      <c r="U44" s="37" t="s">
        <v>173</v>
      </c>
      <c r="V44" s="37" t="s">
        <v>39</v>
      </c>
      <c r="X44" s="37" t="s">
        <v>174</v>
      </c>
      <c r="Y44" s="37" t="s">
        <v>153</v>
      </c>
      <c r="Z44" t="s">
        <v>171</v>
      </c>
      <c r="AB44" t="s">
        <v>169</v>
      </c>
      <c r="AC44" t="s">
        <v>170</v>
      </c>
      <c r="AG44">
        <v>2001</v>
      </c>
      <c r="AH44">
        <v>6</v>
      </c>
      <c r="AI44" s="51">
        <v>14.462684452533722</v>
      </c>
      <c r="AJ44" s="51">
        <v>0</v>
      </c>
      <c r="BC44" s="23" t="s">
        <v>91</v>
      </c>
      <c r="BD44" s="23" t="s">
        <v>144</v>
      </c>
      <c r="BE44" s="23" t="s">
        <v>153</v>
      </c>
      <c r="CB44" s="15"/>
      <c r="CC44" s="15"/>
      <c r="CD44" s="15"/>
      <c r="CE44" s="8"/>
      <c r="CF44" s="8"/>
      <c r="CG44" s="8"/>
      <c r="CK44" s="15"/>
      <c r="CL44" s="15"/>
      <c r="CM44" s="15"/>
      <c r="CN44" s="15"/>
      <c r="CO44" s="8">
        <v>4.7653752028942149</v>
      </c>
      <c r="CP44" s="8">
        <v>9.625</v>
      </c>
      <c r="CQ44" s="56">
        <v>37073</v>
      </c>
      <c r="CR44" s="8">
        <v>0</v>
      </c>
      <c r="CS44" s="8">
        <v>397.5</v>
      </c>
      <c r="CT44" s="8">
        <v>0</v>
      </c>
      <c r="CU44" s="8">
        <v>160.88999999999999</v>
      </c>
      <c r="DG44">
        <v>706542299.80115533</v>
      </c>
      <c r="DH44">
        <v>130661885.10484797</v>
      </c>
      <c r="DK44" t="e">
        <v>#N/A</v>
      </c>
      <c r="DL44" t="e">
        <v>#N/A</v>
      </c>
    </row>
    <row r="45" spans="1:123" x14ac:dyDescent="0.25">
      <c r="F45" s="8">
        <v>316.22594647</v>
      </c>
      <c r="G45" s="8">
        <v>284.54649782180786</v>
      </c>
      <c r="H45" s="8">
        <v>46143.149658436421</v>
      </c>
      <c r="I45" s="8">
        <v>50046.983659661382</v>
      </c>
      <c r="J45" s="8">
        <v>57102.56274049457</v>
      </c>
      <c r="L45" s="8">
        <f>($Q$45*F45)+($P$45*G45)+($O$45*H45)+($N$45*I45)</f>
        <v>56371.551603665466</v>
      </c>
      <c r="N45" s="15">
        <f t="array" ref="N45:Q49">LINEST(J45:J59,F45:I59,0,1)</f>
        <v>0.17005284532824189</v>
      </c>
      <c r="O45" s="15">
        <v>0.65683748405853615</v>
      </c>
      <c r="P45" s="15">
        <v>0.25348931898596139</v>
      </c>
      <c r="Q45" s="15">
        <v>55.277689896220394</v>
      </c>
      <c r="R45" t="s">
        <v>154</v>
      </c>
      <c r="S45" s="8">
        <v>85000</v>
      </c>
      <c r="T45" s="39">
        <v>427945.53537674912</v>
      </c>
      <c r="U45" s="39">
        <v>375.31283459999997</v>
      </c>
      <c r="V45" s="39">
        <f t="array" ref="V45:V59">TRANSPOSE(C24:Q24)</f>
        <v>731000</v>
      </c>
      <c r="X45" s="15">
        <f t="array" ref="X45:Z49">LINEST(V45:V59,S45:U59,0,1)</f>
        <v>144.12654128571486</v>
      </c>
      <c r="Y45" s="15">
        <v>0.3764875908836488</v>
      </c>
      <c r="Z45" s="15">
        <v>7.1646590604734275</v>
      </c>
      <c r="AB45" s="40">
        <f>V45</f>
        <v>731000</v>
      </c>
      <c r="AC45" s="39">
        <f>($Z$45*S45)+($Y$45*T45)+($X$45*U45)</f>
        <v>824204.74453468248</v>
      </c>
      <c r="AG45">
        <v>2001</v>
      </c>
      <c r="AH45">
        <v>7</v>
      </c>
      <c r="AI45" s="51">
        <v>95.456767439842153</v>
      </c>
      <c r="AJ45" s="51">
        <v>192.5</v>
      </c>
      <c r="AU45">
        <f t="array" ref="AU45:AX49">LINEST(AY29:AY43,AU29:AX43,0,1)</f>
        <v>167.51021458872566</v>
      </c>
      <c r="AV45">
        <v>74.639303541066568</v>
      </c>
      <c r="AW45">
        <v>0.45887486435359426</v>
      </c>
      <c r="AX45">
        <v>0.2619880861157417</v>
      </c>
      <c r="BC45">
        <f t="array" ref="BC45:BE49">LINEST(BF29:BF43,BC29:BE43,0,1)</f>
        <v>0.55899699991603613</v>
      </c>
      <c r="BD45">
        <v>0.60569974758166722</v>
      </c>
      <c r="BE45">
        <v>0.34158523129748791</v>
      </c>
      <c r="CB45" s="15"/>
      <c r="CC45" s="15"/>
      <c r="CD45" s="15"/>
      <c r="CE45" s="8"/>
      <c r="CF45" s="8"/>
      <c r="CG45" s="8"/>
      <c r="CK45" s="15"/>
      <c r="CL45" s="15"/>
      <c r="CM45" s="15"/>
      <c r="CN45" s="15"/>
      <c r="CO45" s="8">
        <v>0.72647546529769913</v>
      </c>
      <c r="CP45" s="8">
        <v>0</v>
      </c>
      <c r="CQ45" s="56">
        <v>37104</v>
      </c>
      <c r="CR45" s="8">
        <v>0</v>
      </c>
      <c r="CS45" s="8">
        <v>2410.1497988700862</v>
      </c>
      <c r="CT45" s="8">
        <v>0</v>
      </c>
      <c r="CU45" s="8">
        <v>1349</v>
      </c>
    </row>
    <row r="46" spans="1:123" x14ac:dyDescent="0.25">
      <c r="F46" s="8">
        <v>201.48328728600001</v>
      </c>
      <c r="G46" s="8">
        <v>0</v>
      </c>
      <c r="H46" s="8">
        <v>53497.495059129425</v>
      </c>
      <c r="I46" s="8">
        <v>1730.2262947037816</v>
      </c>
      <c r="J46" s="8">
        <v>64062.260465002088</v>
      </c>
      <c r="L46" s="8">
        <f t="shared" ref="L46:L59" si="81">($Q$45*F46)+($P$45*G46)+($O$45*H46)+($N$45*I46)</f>
        <v>46570.920636415249</v>
      </c>
      <c r="N46" s="15">
        <v>0.1028668341563127</v>
      </c>
      <c r="O46" s="15">
        <v>0.11427792270584812</v>
      </c>
      <c r="P46" s="15">
        <v>5.127310744349018E-2</v>
      </c>
      <c r="Q46" s="15">
        <v>22.666183817898233</v>
      </c>
      <c r="R46" t="s">
        <v>155</v>
      </c>
      <c r="S46" s="8">
        <v>90000</v>
      </c>
      <c r="T46" s="39">
        <v>20795.276168622073</v>
      </c>
      <c r="U46" s="39">
        <v>556.05226256000003</v>
      </c>
      <c r="V46" s="39">
        <v>690600</v>
      </c>
      <c r="X46" s="15">
        <v>84.419568328200185</v>
      </c>
      <c r="Y46" s="15">
        <v>0.14419803533435493</v>
      </c>
      <c r="Z46" s="15">
        <v>0.85963305908867171</v>
      </c>
      <c r="AB46" s="40">
        <f t="shared" ref="AB46:AB59" si="82">V46</f>
        <v>690600</v>
      </c>
      <c r="AC46" s="39">
        <f t="shared" ref="AC46:AC59" si="83">($Z$45*S46)+($Y$45*T46)+($X$45*U46)</f>
        <v>732790.36824596208</v>
      </c>
      <c r="AG46">
        <v>2001</v>
      </c>
      <c r="AH46">
        <v>8</v>
      </c>
      <c r="AI46" s="51">
        <v>14.529509305953981</v>
      </c>
      <c r="AJ46" s="51">
        <v>0</v>
      </c>
      <c r="AU46">
        <v>115.59005519337462</v>
      </c>
      <c r="AV46">
        <v>31.192228772157058</v>
      </c>
      <c r="AW46">
        <v>0.29289436535064162</v>
      </c>
      <c r="AX46">
        <v>0.19064932217872482</v>
      </c>
      <c r="BC46">
        <v>8.0535477464907232E-2</v>
      </c>
      <c r="BD46">
        <v>0.10406401676625664</v>
      </c>
      <c r="BE46">
        <v>6.7771577690227347E-2</v>
      </c>
      <c r="CB46" s="15"/>
      <c r="CC46" s="15"/>
      <c r="CD46" s="15"/>
      <c r="CE46" s="8"/>
      <c r="CF46" s="8"/>
      <c r="CG46" s="8"/>
      <c r="CK46" s="15"/>
      <c r="CL46" s="15"/>
      <c r="CM46" s="15"/>
      <c r="CN46" s="15"/>
      <c r="CO46" s="8">
        <v>45.5373069047928</v>
      </c>
      <c r="CP46" s="8">
        <v>0</v>
      </c>
      <c r="CQ46" s="56">
        <v>37135</v>
      </c>
      <c r="CR46" s="8">
        <v>380.08760952949456</v>
      </c>
      <c r="CS46" s="8">
        <v>0</v>
      </c>
      <c r="CT46" s="8">
        <v>0</v>
      </c>
      <c r="CU46" s="8">
        <v>25.885000000000002</v>
      </c>
    </row>
    <row r="47" spans="1:123" x14ac:dyDescent="0.25">
      <c r="F47" s="8">
        <v>239.28864257999999</v>
      </c>
      <c r="G47" s="8">
        <v>163181.26734468341</v>
      </c>
      <c r="H47" s="8">
        <v>4034.5915586668993</v>
      </c>
      <c r="I47" s="8">
        <v>0</v>
      </c>
      <c r="J47" s="8">
        <v>55624.709759260477</v>
      </c>
      <c r="L47" s="8">
        <f t="shared" si="81"/>
        <v>57242.102679293224</v>
      </c>
      <c r="N47" s="15">
        <v>0.96743107738481582</v>
      </c>
      <c r="O47" s="15">
        <v>8617.8343678470246</v>
      </c>
      <c r="P47" s="15" t="e">
        <v>#N/A</v>
      </c>
      <c r="Q47" s="15" t="e">
        <v>#N/A</v>
      </c>
      <c r="R47" t="s">
        <v>156</v>
      </c>
      <c r="S47" s="8">
        <v>85600</v>
      </c>
      <c r="T47" s="39">
        <v>274183.97710840078</v>
      </c>
      <c r="U47" s="39">
        <v>349.05226240000002</v>
      </c>
      <c r="V47" s="39">
        <v>727600</v>
      </c>
      <c r="X47">
        <v>0.9910013533895391</v>
      </c>
      <c r="Y47">
        <v>55085.228588721686</v>
      </c>
      <c r="Z47" t="e">
        <v>#N/A</v>
      </c>
      <c r="AB47" s="40">
        <f t="shared" si="82"/>
        <v>727600</v>
      </c>
      <c r="AC47" s="39">
        <f t="shared" si="83"/>
        <v>766829.37588463048</v>
      </c>
      <c r="AG47">
        <v>2001</v>
      </c>
      <c r="AH47">
        <v>9</v>
      </c>
      <c r="AI47" s="51">
        <v>936.29169559478748</v>
      </c>
      <c r="AJ47" s="51">
        <v>0</v>
      </c>
      <c r="AU47">
        <v>0.94345604431701835</v>
      </c>
      <c r="AV47">
        <v>12248.661593385257</v>
      </c>
      <c r="AW47" t="e">
        <v>#N/A</v>
      </c>
      <c r="AX47" t="e">
        <v>#N/A</v>
      </c>
      <c r="BC47">
        <v>0.9816346756660409</v>
      </c>
      <c r="BD47">
        <v>6683.4478421978019</v>
      </c>
      <c r="BE47" t="e">
        <v>#N/A</v>
      </c>
      <c r="CB47" s="15"/>
      <c r="CC47" s="15"/>
      <c r="CD47" s="15"/>
      <c r="CE47" s="8"/>
      <c r="CF47" s="8"/>
      <c r="CG47" s="8"/>
      <c r="CK47" s="15"/>
      <c r="CL47" s="15"/>
      <c r="CM47" s="15"/>
      <c r="CN47" s="15"/>
      <c r="CO47" s="8">
        <v>56.084155780076983</v>
      </c>
      <c r="CP47" s="8">
        <v>0</v>
      </c>
      <c r="CQ47" s="56">
        <v>37165</v>
      </c>
      <c r="CR47" s="8">
        <v>370.64968654699607</v>
      </c>
      <c r="CS47" s="8">
        <v>0</v>
      </c>
      <c r="CT47" s="8">
        <v>0</v>
      </c>
      <c r="CU47" s="8">
        <v>0</v>
      </c>
      <c r="DH47" t="str">
        <f>DF1</f>
        <v>Plant in</v>
      </c>
      <c r="DI47" t="s">
        <v>384</v>
      </c>
      <c r="DJ47" t="s">
        <v>238</v>
      </c>
    </row>
    <row r="48" spans="1:123" x14ac:dyDescent="0.25">
      <c r="F48" s="8">
        <v>104.991043414</v>
      </c>
      <c r="G48" s="8">
        <v>2080.8913192749001</v>
      </c>
      <c r="H48" s="8">
        <v>54321.962675140006</v>
      </c>
      <c r="I48" s="8">
        <v>965.85446353070438</v>
      </c>
      <c r="J48" s="8">
        <v>28891</v>
      </c>
      <c r="L48" s="8">
        <f t="shared" si="81"/>
        <v>42176.09365548355</v>
      </c>
      <c r="N48">
        <v>81.686320859993671</v>
      </c>
      <c r="O48">
        <v>11</v>
      </c>
      <c r="P48" t="e">
        <v>#N/A</v>
      </c>
      <c r="Q48" t="e">
        <v>#N/A</v>
      </c>
      <c r="R48" t="s">
        <v>157</v>
      </c>
      <c r="S48" s="8">
        <v>42000</v>
      </c>
      <c r="T48" s="39">
        <v>99286.761704958597</v>
      </c>
      <c r="U48" s="39">
        <v>278.62696212000003</v>
      </c>
      <c r="V48" s="39">
        <v>365000</v>
      </c>
      <c r="X48">
        <v>440.51128854754387</v>
      </c>
      <c r="Y48">
        <v>12</v>
      </c>
      <c r="Z48" t="e">
        <v>#N/A</v>
      </c>
      <c r="AB48" s="40">
        <f t="shared" si="82"/>
        <v>365000</v>
      </c>
      <c r="AC48" s="39">
        <f t="shared" si="83"/>
        <v>378453.45462012425</v>
      </c>
      <c r="AG48">
        <v>2001</v>
      </c>
      <c r="AH48">
        <v>10</v>
      </c>
      <c r="AI48" s="51">
        <v>2224.6971306502796</v>
      </c>
      <c r="AJ48" s="51">
        <v>0</v>
      </c>
      <c r="AK48">
        <f>AG48</f>
        <v>2001</v>
      </c>
      <c r="AL48" s="8">
        <f>SUM(AI45:AI48)</f>
        <v>3270.975102990863</v>
      </c>
      <c r="AM48" s="8">
        <f>SUM(AJ37:AJ48)</f>
        <v>55571.977893918753</v>
      </c>
      <c r="AU48">
        <v>45.884729685664439</v>
      </c>
      <c r="AV48">
        <v>11</v>
      </c>
      <c r="AW48" t="e">
        <v>#N/A</v>
      </c>
      <c r="AX48" t="e">
        <v>#N/A</v>
      </c>
      <c r="BC48">
        <v>213.80176201972273</v>
      </c>
      <c r="BD48">
        <v>12</v>
      </c>
      <c r="BE48" t="e">
        <v>#N/A</v>
      </c>
      <c r="CB48" s="15"/>
      <c r="CC48" s="15"/>
      <c r="CD48" s="15"/>
      <c r="CE48" s="8"/>
      <c r="CF48" s="10"/>
      <c r="CG48" s="8"/>
      <c r="CH48" s="8"/>
      <c r="CK48" s="15"/>
      <c r="CL48" s="15"/>
      <c r="CM48" s="15"/>
      <c r="CN48" s="15"/>
      <c r="CO48" s="8">
        <v>262.65518278218804</v>
      </c>
      <c r="CP48" s="8">
        <v>1304.4322245073508</v>
      </c>
      <c r="CQ48" s="56">
        <v>37196</v>
      </c>
      <c r="CR48" s="8">
        <v>849.99435514211666</v>
      </c>
      <c r="CS48" s="8">
        <v>294.48378002643591</v>
      </c>
      <c r="CT48" s="8">
        <v>0</v>
      </c>
      <c r="CU48" s="8">
        <v>2494.1</v>
      </c>
      <c r="CV48" s="56">
        <f>CQ48</f>
        <v>37196</v>
      </c>
      <c r="CW48" s="8">
        <f>SUM(CR44:CR52)+SUM(CO44:CO52)</f>
        <v>17896.531016611698</v>
      </c>
      <c r="CX48" s="8">
        <f>SUM(CS36:CS47)+SUM(CP36:CP47)</f>
        <v>48141.64163010817</v>
      </c>
      <c r="CY48" s="8">
        <f t="shared" ref="CY48" si="84">SUM(CT36:CT47)</f>
        <v>52.856597900390589</v>
      </c>
      <c r="CZ48" s="8">
        <f>SUM(CU36:CU47)</f>
        <v>14008.785799999998</v>
      </c>
      <c r="DH48">
        <f t="shared" ref="DH48:DI48" si="85">DF2</f>
        <v>1999</v>
      </c>
      <c r="DI48" s="8">
        <f t="shared" si="85"/>
        <v>15147.43725950543</v>
      </c>
      <c r="DJ48" s="8">
        <f>($DD$18*DB2)+($DC$18*DC2)</f>
        <v>16222.592802633289</v>
      </c>
    </row>
    <row r="49" spans="6:114" x14ac:dyDescent="0.25">
      <c r="F49" s="8">
        <v>180.794552084</v>
      </c>
      <c r="G49" s="8">
        <v>8618.889562591914</v>
      </c>
      <c r="H49" s="8">
        <v>19336.590810962953</v>
      </c>
      <c r="I49" s="8">
        <v>7963.0698840403966</v>
      </c>
      <c r="J49" s="8">
        <v>17127</v>
      </c>
      <c r="L49" s="8">
        <f t="shared" si="81"/>
        <v>26233.841980533074</v>
      </c>
      <c r="N49">
        <v>24266414573.280361</v>
      </c>
      <c r="O49">
        <v>816937761.10809863</v>
      </c>
      <c r="P49" t="e">
        <v>#N/A</v>
      </c>
      <c r="Q49" t="e">
        <v>#N/A</v>
      </c>
      <c r="R49" t="s">
        <v>158</v>
      </c>
      <c r="S49" s="8">
        <v>22000</v>
      </c>
      <c r="T49" s="39">
        <v>29373.836911296821</v>
      </c>
      <c r="U49" s="39">
        <v>462.50646367000002</v>
      </c>
      <c r="V49" s="39">
        <v>188000</v>
      </c>
      <c r="X49">
        <v>4010039114369.9395</v>
      </c>
      <c r="Y49">
        <v>36412588904.060654</v>
      </c>
      <c r="Z49" t="e">
        <v>#N/A</v>
      </c>
      <c r="AB49" s="40">
        <f t="shared" si="82"/>
        <v>188000</v>
      </c>
      <c r="AC49" s="39">
        <f t="shared" si="83"/>
        <v>235340.84135520295</v>
      </c>
      <c r="AG49">
        <v>2001</v>
      </c>
      <c r="AH49">
        <v>11</v>
      </c>
      <c r="AI49" s="51">
        <v>33703.906566195197</v>
      </c>
      <c r="AJ49" s="51">
        <v>1158.7771301269499</v>
      </c>
      <c r="AU49">
        <v>27536290904.878017</v>
      </c>
      <c r="AV49">
        <v>1650326819.1219816</v>
      </c>
      <c r="AW49" t="e">
        <v>#N/A</v>
      </c>
      <c r="AX49" t="e">
        <v>#N/A</v>
      </c>
      <c r="BC49">
        <v>28650596023.28746</v>
      </c>
      <c r="BD49">
        <v>536021700.71254152</v>
      </c>
      <c r="BE49" t="e">
        <v>#N/A</v>
      </c>
      <c r="CB49" s="15"/>
      <c r="CC49" s="15"/>
      <c r="CD49" s="15"/>
      <c r="CE49" s="8"/>
      <c r="CF49" s="8"/>
      <c r="CG49" s="8"/>
      <c r="CK49" s="15"/>
      <c r="CL49" s="15"/>
      <c r="CM49" s="15"/>
      <c r="CN49" s="15"/>
      <c r="CO49" s="8">
        <v>38.017391570284978</v>
      </c>
      <c r="CP49" s="8">
        <v>264.88088087831323</v>
      </c>
      <c r="CQ49" s="56">
        <v>37226</v>
      </c>
      <c r="CR49" s="8">
        <v>1168.115572690964</v>
      </c>
      <c r="CS49" s="8">
        <v>8268.9049127609469</v>
      </c>
      <c r="CT49" s="8">
        <v>0</v>
      </c>
      <c r="CU49" s="8">
        <v>2779.1</v>
      </c>
      <c r="CW49" s="8"/>
      <c r="CX49" s="8">
        <f>SUM(CS36:CS40)+SUM(CP36:CP40)</f>
        <v>42889.318127550789</v>
      </c>
      <c r="CY49" s="8">
        <f t="shared" ref="CY49" si="86">SUM(CT36:CT40)</f>
        <v>52.856597900390589</v>
      </c>
      <c r="CZ49" s="8">
        <f t="shared" ref="CZ49" si="87">SUM(CU36:CU40)</f>
        <v>12293.599999999999</v>
      </c>
      <c r="DA49" s="8">
        <f>SUM(CX49:CZ49)</f>
        <v>55235.774725451178</v>
      </c>
      <c r="DH49">
        <f t="shared" ref="DH49:DI49" si="88">DF3</f>
        <v>2000</v>
      </c>
      <c r="DI49" s="8">
        <f t="shared" si="88"/>
        <v>12437.739534997911</v>
      </c>
      <c r="DJ49" s="8">
        <f t="shared" ref="DJ49:DJ62" si="89">($DD$18*DB3)+($DC$18*DC3)</f>
        <v>5456.4853003429162</v>
      </c>
    </row>
    <row r="50" spans="6:114" x14ac:dyDescent="0.25">
      <c r="F50" s="8">
        <v>208.85484764</v>
      </c>
      <c r="G50" s="8">
        <v>53068.004579424851</v>
      </c>
      <c r="H50" s="8">
        <v>10879.613757684827</v>
      </c>
      <c r="I50" s="8">
        <v>7603.4144827071605</v>
      </c>
      <c r="J50" s="8">
        <v>37022.200000000012</v>
      </c>
      <c r="L50" s="8">
        <f t="shared" si="81"/>
        <v>33436.306237069221</v>
      </c>
      <c r="R50" t="s">
        <v>159</v>
      </c>
      <c r="S50" s="8">
        <v>50000</v>
      </c>
      <c r="T50" s="39">
        <v>13436.753287632026</v>
      </c>
      <c r="U50" s="39">
        <v>421.14773779000001</v>
      </c>
      <c r="V50" s="39">
        <v>500000</v>
      </c>
      <c r="AB50" s="40">
        <f t="shared" si="82"/>
        <v>500000</v>
      </c>
      <c r="AC50" s="39">
        <f t="shared" si="83"/>
        <v>423990.29071620572</v>
      </c>
      <c r="AG50">
        <v>2001</v>
      </c>
      <c r="AH50">
        <v>12</v>
      </c>
      <c r="AI50" s="51">
        <v>14096.485152038738</v>
      </c>
      <c r="AJ50" s="51">
        <v>0</v>
      </c>
      <c r="CB50" s="15"/>
      <c r="CC50" s="15"/>
      <c r="CD50" s="15"/>
      <c r="CE50" s="8"/>
      <c r="CF50" s="8"/>
      <c r="CG50" s="8"/>
      <c r="CK50" s="15"/>
      <c r="CL50" s="15"/>
      <c r="CM50" s="15"/>
      <c r="CN50" s="15"/>
      <c r="CO50" s="8">
        <v>5448.5454518847582</v>
      </c>
      <c r="CP50" s="8">
        <v>47.941697120666539</v>
      </c>
      <c r="CQ50" s="56">
        <v>37257</v>
      </c>
      <c r="CR50" s="8">
        <v>1906.6728685977876</v>
      </c>
      <c r="CS50" s="8">
        <v>138.54042530059814</v>
      </c>
      <c r="CT50" s="8">
        <v>0</v>
      </c>
      <c r="CU50" s="8">
        <v>416.7</v>
      </c>
      <c r="DH50">
        <f t="shared" ref="DH50:DI50" si="90">DF4</f>
        <v>2001</v>
      </c>
      <c r="DI50" s="8">
        <f t="shared" si="90"/>
        <v>17135</v>
      </c>
      <c r="DJ50" s="8">
        <f t="shared" si="89"/>
        <v>15976.355019197516</v>
      </c>
    </row>
    <row r="51" spans="6:114" x14ac:dyDescent="0.25">
      <c r="F51" s="8">
        <v>355.68716541999999</v>
      </c>
      <c r="G51" s="8">
        <v>55328.555229619145</v>
      </c>
      <c r="H51" s="8">
        <v>2233.0955747365965</v>
      </c>
      <c r="I51" s="8">
        <v>43280.050962233909</v>
      </c>
      <c r="J51" s="8">
        <v>45696</v>
      </c>
      <c r="L51" s="8">
        <f t="shared" si="81"/>
        <v>42513.439306837143</v>
      </c>
      <c r="R51" t="s">
        <v>160</v>
      </c>
      <c r="S51" s="8">
        <v>60000</v>
      </c>
      <c r="T51" s="39">
        <v>169235.3571381612</v>
      </c>
      <c r="U51" s="39">
        <v>393.76361972000007</v>
      </c>
      <c r="V51" s="39">
        <v>545000</v>
      </c>
      <c r="AB51" s="40">
        <f t="shared" si="82"/>
        <v>545000</v>
      </c>
      <c r="AC51" s="39">
        <f t="shared" si="83"/>
        <v>550346.34412407293</v>
      </c>
      <c r="AG51">
        <v>2002</v>
      </c>
      <c r="AH51">
        <v>1</v>
      </c>
      <c r="AI51" s="51">
        <v>115469.48965555965</v>
      </c>
      <c r="AJ51" s="51">
        <v>0</v>
      </c>
      <c r="AS51" t="s">
        <v>43</v>
      </c>
      <c r="AT51" t="s">
        <v>230</v>
      </c>
      <c r="AU51" t="s">
        <v>144</v>
      </c>
      <c r="AV51" t="s">
        <v>232</v>
      </c>
      <c r="AW51" t="s">
        <v>91</v>
      </c>
      <c r="AX51" t="s">
        <v>233</v>
      </c>
      <c r="AY51" t="str">
        <f>AS51</f>
        <v>Plant in</v>
      </c>
      <c r="AZ51" t="str">
        <f>AX51</f>
        <v>area ha</v>
      </c>
      <c r="BA51" t="s">
        <v>74</v>
      </c>
      <c r="CB51" s="15"/>
      <c r="CC51" s="15"/>
      <c r="CD51" s="15"/>
      <c r="CE51" s="8"/>
      <c r="CF51" s="8"/>
      <c r="CG51" s="8"/>
      <c r="CK51" s="15"/>
      <c r="CL51" s="15"/>
      <c r="CM51" s="15"/>
      <c r="CN51" s="15"/>
      <c r="CO51" s="8">
        <v>3499.434743217751</v>
      </c>
      <c r="CP51" s="8">
        <v>69.592801020201335</v>
      </c>
      <c r="CQ51" s="56">
        <v>37288</v>
      </c>
      <c r="CR51" s="8">
        <v>1666.4812211929823</v>
      </c>
      <c r="CS51" s="8">
        <v>294.74060272658249</v>
      </c>
      <c r="CT51" s="8">
        <v>0</v>
      </c>
      <c r="CU51" s="8">
        <v>834.33</v>
      </c>
      <c r="DH51">
        <f t="shared" ref="DH51:DI51" si="91">DF5</f>
        <v>2002</v>
      </c>
      <c r="DI51" s="8">
        <f t="shared" si="91"/>
        <v>6540</v>
      </c>
      <c r="DJ51" s="8">
        <f t="shared" si="89"/>
        <v>5564.9275516174039</v>
      </c>
    </row>
    <row r="52" spans="6:114" x14ac:dyDescent="0.25">
      <c r="F52" s="8">
        <v>178.04459844300001</v>
      </c>
      <c r="G52" s="8">
        <v>0</v>
      </c>
      <c r="H52" s="8">
        <v>22196.350869037211</v>
      </c>
      <c r="I52" s="8">
        <v>513.14926342479885</v>
      </c>
      <c r="J52" s="8">
        <v>21990</v>
      </c>
      <c r="L52" s="8">
        <f t="shared" si="81"/>
        <v>24508.551852851622</v>
      </c>
      <c r="R52" t="s">
        <v>161</v>
      </c>
      <c r="S52" s="8">
        <v>31100</v>
      </c>
      <c r="T52" s="39">
        <v>26386.58798003057</v>
      </c>
      <c r="U52" s="39">
        <v>266.09833811999999</v>
      </c>
      <c r="V52" s="39">
        <v>275000</v>
      </c>
      <c r="AB52" s="40">
        <f t="shared" si="82"/>
        <v>275000</v>
      </c>
      <c r="AC52" s="39">
        <f t="shared" si="83"/>
        <v>271106.95283607702</v>
      </c>
      <c r="AG52">
        <v>2002</v>
      </c>
      <c r="AH52">
        <v>2</v>
      </c>
      <c r="AI52" s="51">
        <v>83514.222375624813</v>
      </c>
      <c r="AJ52" s="51">
        <v>0</v>
      </c>
      <c r="AS52">
        <v>1999</v>
      </c>
      <c r="AT52" s="8">
        <v>80418.511844418943</v>
      </c>
      <c r="AU52" s="8">
        <v>315.67456996440893</v>
      </c>
      <c r="AV52" s="11">
        <v>316.22594647</v>
      </c>
      <c r="AW52" s="8">
        <f>BE29</f>
        <v>42000</v>
      </c>
      <c r="AX52" s="8">
        <v>44590</v>
      </c>
      <c r="AY52">
        <f>AS52</f>
        <v>1999</v>
      </c>
      <c r="AZ52">
        <f>AX52</f>
        <v>44590</v>
      </c>
      <c r="BA52" s="8">
        <f>($AW$68*AT52)+($AV$68*AU52)+($AU$68*AV52)+($AT$68*AW52)</f>
        <v>50957.454065728351</v>
      </c>
      <c r="BC52" s="8"/>
      <c r="BD52" s="8"/>
      <c r="BE52" s="8"/>
      <c r="BH52" s="8"/>
      <c r="CB52" s="15"/>
      <c r="CC52" s="15"/>
      <c r="CD52" s="15"/>
      <c r="CE52" s="8"/>
      <c r="CF52" s="8"/>
      <c r="CG52" s="8"/>
      <c r="CK52" s="15"/>
      <c r="CL52" s="15"/>
      <c r="CM52" s="15"/>
      <c r="CN52" s="15"/>
      <c r="CO52" s="8">
        <v>1223.8012533193219</v>
      </c>
      <c r="CP52" s="8">
        <v>254.16960576549201</v>
      </c>
      <c r="CQ52" s="56">
        <v>37316</v>
      </c>
      <c r="CR52" s="8">
        <v>974.96236678399157</v>
      </c>
      <c r="CS52" s="8">
        <v>42.111224174499597</v>
      </c>
      <c r="CT52" s="8">
        <v>0</v>
      </c>
      <c r="CU52" s="8">
        <v>70.372</v>
      </c>
      <c r="DH52">
        <f t="shared" ref="DH52:DI52" si="92">DF6</f>
        <v>2003</v>
      </c>
      <c r="DI52" s="8">
        <f t="shared" si="92"/>
        <v>419</v>
      </c>
      <c r="DJ52" s="8">
        <f t="shared" si="89"/>
        <v>3054.3552818553762</v>
      </c>
    </row>
    <row r="53" spans="6:114" x14ac:dyDescent="0.25">
      <c r="F53" s="8">
        <v>215.92631574699999</v>
      </c>
      <c r="G53" s="8">
        <v>0</v>
      </c>
      <c r="H53" s="8">
        <v>10930.622542868601</v>
      </c>
      <c r="I53" s="8">
        <v>4644.5101706050336</v>
      </c>
      <c r="J53" s="8">
        <v>6752.869999999999</v>
      </c>
      <c r="L53" s="8">
        <f t="shared" si="81"/>
        <v>19905.362702214708</v>
      </c>
      <c r="R53" t="s">
        <v>162</v>
      </c>
      <c r="S53" s="8">
        <v>10500</v>
      </c>
      <c r="T53" s="39">
        <v>31599.440986034111</v>
      </c>
      <c r="U53" s="39">
        <v>431.89750700499997</v>
      </c>
      <c r="V53" s="39">
        <v>103000</v>
      </c>
      <c r="AB53" s="40">
        <f t="shared" si="82"/>
        <v>103000</v>
      </c>
      <c r="AC53" s="39">
        <f t="shared" si="83"/>
        <v>149373.61141962645</v>
      </c>
      <c r="AG53">
        <v>2002</v>
      </c>
      <c r="AH53">
        <v>3</v>
      </c>
      <c r="AI53" s="51">
        <v>34832.008126310997</v>
      </c>
      <c r="AJ53" s="51">
        <v>96.25</v>
      </c>
      <c r="AS53">
        <v>2000</v>
      </c>
      <c r="AT53" s="8">
        <v>49884.866875195876</v>
      </c>
      <c r="AU53" s="8">
        <v>0</v>
      </c>
      <c r="AV53" s="11">
        <v>201.48328728600001</v>
      </c>
      <c r="AW53" s="8">
        <f t="shared" ref="AW53:AW66" si="93">BE30</f>
        <v>44590</v>
      </c>
      <c r="AX53" s="8">
        <v>45741</v>
      </c>
      <c r="AY53">
        <f t="shared" ref="AY53:AY66" si="94">AS53</f>
        <v>2000</v>
      </c>
      <c r="AZ53">
        <f t="shared" ref="AZ53:AZ66" si="95">AX53</f>
        <v>45741</v>
      </c>
      <c r="BA53" s="8">
        <f t="shared" ref="BA53:BA66" si="96">($AW$68*AT53)+($AV$68*AU53)+($AU$68*AV53)+($AT$68*AW53)</f>
        <v>41098.716267626325</v>
      </c>
      <c r="BC53" s="8"/>
      <c r="BD53" s="8"/>
      <c r="BE53" s="8"/>
      <c r="BH53" s="8"/>
      <c r="CB53" s="15"/>
      <c r="CC53" s="15"/>
      <c r="CD53" s="15"/>
      <c r="CE53" s="8"/>
      <c r="CF53" s="8"/>
      <c r="CG53" s="8"/>
      <c r="CK53" s="15"/>
      <c r="CL53" s="15"/>
      <c r="CM53" s="15"/>
      <c r="CN53" s="15"/>
      <c r="CO53" s="8">
        <v>6.6953833296895047</v>
      </c>
      <c r="CP53" s="8">
        <v>271.23684595823289</v>
      </c>
      <c r="CQ53" s="56">
        <v>37347</v>
      </c>
      <c r="CR53" s="8">
        <v>169.04306972026828</v>
      </c>
      <c r="CS53" s="8">
        <v>5135.350354754366</v>
      </c>
      <c r="CT53" s="8">
        <v>0</v>
      </c>
      <c r="CU53" s="8">
        <v>714.93</v>
      </c>
      <c r="DH53">
        <f t="shared" ref="DH53:DI53" si="97">DF7</f>
        <v>2004</v>
      </c>
      <c r="DI53" s="8">
        <f t="shared" si="97"/>
        <v>6109.7</v>
      </c>
      <c r="DJ53" s="8">
        <f t="shared" si="89"/>
        <v>6934.9121067261121</v>
      </c>
    </row>
    <row r="54" spans="6:114" x14ac:dyDescent="0.25">
      <c r="F54" s="8">
        <v>225.98494921999998</v>
      </c>
      <c r="G54" s="8">
        <v>0</v>
      </c>
      <c r="H54" s="8">
        <v>14067.782908434048</v>
      </c>
      <c r="I54" s="8">
        <v>2283.1128051169221</v>
      </c>
      <c r="J54" s="8">
        <v>22024</v>
      </c>
      <c r="L54" s="8">
        <f t="shared" si="81"/>
        <v>22120.422904769246</v>
      </c>
      <c r="R54" t="s">
        <v>163</v>
      </c>
      <c r="S54" s="8">
        <v>25600</v>
      </c>
      <c r="T54" s="39">
        <v>49043.105400452514</v>
      </c>
      <c r="U54" s="39">
        <v>412.40987976700001</v>
      </c>
      <c r="V54" s="39">
        <v>278000</v>
      </c>
      <c r="AB54" s="40">
        <f t="shared" si="82"/>
        <v>278000</v>
      </c>
      <c r="AC54" s="39">
        <f t="shared" si="83"/>
        <v>261318.6021126642</v>
      </c>
      <c r="AG54">
        <v>2002</v>
      </c>
      <c r="AH54">
        <v>4</v>
      </c>
      <c r="AI54" s="51">
        <v>7692.3892934140804</v>
      </c>
      <c r="AJ54" s="51">
        <v>0</v>
      </c>
      <c r="AS54">
        <v>2001</v>
      </c>
      <c r="AT54" s="8">
        <v>3270.975102990863</v>
      </c>
      <c r="AU54" s="8">
        <v>55571.977893918753</v>
      </c>
      <c r="AV54" s="11">
        <v>239.28864257999999</v>
      </c>
      <c r="AW54" s="8">
        <f t="shared" si="93"/>
        <v>45741</v>
      </c>
      <c r="AX54" s="8">
        <v>62541</v>
      </c>
      <c r="AY54">
        <f t="shared" si="94"/>
        <v>2001</v>
      </c>
      <c r="AZ54">
        <f t="shared" si="95"/>
        <v>62541</v>
      </c>
      <c r="BA54" s="8">
        <f t="shared" si="96"/>
        <v>61096.912198298451</v>
      </c>
      <c r="BC54" s="8"/>
      <c r="BD54" s="8"/>
      <c r="BE54" s="8"/>
      <c r="BH54" s="8"/>
      <c r="CB54" s="15"/>
      <c r="CC54" s="15"/>
      <c r="CD54" s="15"/>
      <c r="CE54" s="8"/>
      <c r="CF54" s="8"/>
      <c r="CG54" s="8"/>
      <c r="CK54" s="15"/>
      <c r="CL54" s="15"/>
      <c r="CM54" s="15"/>
      <c r="CN54" s="15"/>
      <c r="CO54" s="8">
        <v>5.8761942416429536</v>
      </c>
      <c r="CP54" s="8">
        <v>0</v>
      </c>
      <c r="CQ54" s="56">
        <v>37377</v>
      </c>
      <c r="CR54" s="8">
        <v>74.402622044086471</v>
      </c>
      <c r="CS54" s="8">
        <v>0</v>
      </c>
      <c r="CT54" s="8">
        <v>0</v>
      </c>
      <c r="CU54" s="8">
        <v>4.9286000000000003E-2</v>
      </c>
      <c r="DH54">
        <f t="shared" ref="DH54:DI54" si="98">DF8</f>
        <v>2005</v>
      </c>
      <c r="DI54" s="8">
        <f t="shared" si="98"/>
        <v>8262</v>
      </c>
      <c r="DJ54" s="8">
        <f t="shared" si="89"/>
        <v>8862.2652358790547</v>
      </c>
    </row>
    <row r="55" spans="6:114" x14ac:dyDescent="0.25">
      <c r="F55" s="8">
        <v>170.56241915099997</v>
      </c>
      <c r="G55" s="8">
        <v>0</v>
      </c>
      <c r="H55" s="8">
        <v>5148.8100393657805</v>
      </c>
      <c r="I55" s="8">
        <v>0</v>
      </c>
      <c r="J55" s="8">
        <v>19512.88</v>
      </c>
      <c r="L55" s="8">
        <f t="shared" si="81"/>
        <v>12810.227945930492</v>
      </c>
      <c r="R55" t="s">
        <v>164</v>
      </c>
      <c r="S55" s="8">
        <v>24500</v>
      </c>
      <c r="T55" s="39">
        <v>130.04062922671446</v>
      </c>
      <c r="U55" s="39">
        <v>314.67894759000001</v>
      </c>
      <c r="V55" s="39">
        <v>238875</v>
      </c>
      <c r="AB55" s="40">
        <f t="shared" si="82"/>
        <v>238875</v>
      </c>
      <c r="AC55" s="39">
        <f t="shared" si="83"/>
        <v>220936.69399638899</v>
      </c>
      <c r="AG55">
        <v>2002</v>
      </c>
      <c r="AH55">
        <v>5</v>
      </c>
      <c r="AI55" s="51">
        <v>1063.28351789713</v>
      </c>
      <c r="AJ55" s="51">
        <v>0</v>
      </c>
      <c r="AS55">
        <v>2002</v>
      </c>
      <c r="AT55" s="8">
        <v>45979.222311034813</v>
      </c>
      <c r="AU55" s="8">
        <v>1255.0271301269499</v>
      </c>
      <c r="AV55" s="11">
        <v>104.991043414</v>
      </c>
      <c r="AW55" s="8">
        <f t="shared" si="93"/>
        <v>62541</v>
      </c>
      <c r="AX55" s="8">
        <v>42588</v>
      </c>
      <c r="AY55">
        <f t="shared" si="94"/>
        <v>2002</v>
      </c>
      <c r="AZ55">
        <f t="shared" si="95"/>
        <v>42588</v>
      </c>
      <c r="BA55" s="8">
        <f t="shared" si="96"/>
        <v>47400.783128129457</v>
      </c>
      <c r="BC55" s="8"/>
      <c r="BD55" s="8"/>
      <c r="BE55" s="8"/>
      <c r="BH55" s="8"/>
      <c r="CB55" s="15"/>
      <c r="CC55" s="15"/>
      <c r="CD55" s="15"/>
      <c r="CE55" s="8"/>
      <c r="CF55" s="8"/>
      <c r="CG55" s="8"/>
      <c r="CK55" s="15"/>
      <c r="CL55" s="15"/>
      <c r="CM55" s="15"/>
      <c r="CN55" s="15"/>
      <c r="CO55" s="8">
        <v>21.769658292829995</v>
      </c>
      <c r="CP55" s="8">
        <v>0</v>
      </c>
      <c r="CQ55" s="56">
        <v>37408</v>
      </c>
      <c r="CR55" s="8">
        <v>12.021445274353034</v>
      </c>
      <c r="CS55" s="8">
        <v>0</v>
      </c>
      <c r="CT55" s="8">
        <v>0</v>
      </c>
      <c r="CU55" s="8">
        <v>0</v>
      </c>
      <c r="DH55">
        <f t="shared" ref="DH55:DI55" si="99">DF9</f>
        <v>2006</v>
      </c>
      <c r="DI55" s="8">
        <f t="shared" si="99"/>
        <v>3288</v>
      </c>
      <c r="DJ55" s="8">
        <f t="shared" si="89"/>
        <v>3326.1481381524472</v>
      </c>
    </row>
    <row r="56" spans="6:114" x14ac:dyDescent="0.25">
      <c r="F56" s="8">
        <v>379.97322238999999</v>
      </c>
      <c r="G56" s="8">
        <v>358.37734222412098</v>
      </c>
      <c r="H56" s="8">
        <v>385.60958757497684</v>
      </c>
      <c r="I56" s="8">
        <v>116623.58968975709</v>
      </c>
      <c r="J56" s="8">
        <v>40425.879999999997</v>
      </c>
      <c r="L56" s="8">
        <f t="shared" si="81"/>
        <v>41180.342875030605</v>
      </c>
      <c r="R56" t="s">
        <v>165</v>
      </c>
      <c r="S56" s="8">
        <v>52200</v>
      </c>
      <c r="T56" s="39">
        <v>108531.73991206237</v>
      </c>
      <c r="U56" s="39">
        <v>384.93933499999997</v>
      </c>
      <c r="V56" s="39">
        <v>511560</v>
      </c>
      <c r="AB56" s="40">
        <f t="shared" si="82"/>
        <v>511560</v>
      </c>
      <c r="AC56" s="39">
        <f t="shared" si="83"/>
        <v>470336.03120898915</v>
      </c>
      <c r="AG56">
        <v>2002</v>
      </c>
      <c r="AH56">
        <v>6</v>
      </c>
      <c r="AI56" s="51">
        <v>2097.1169153749943</v>
      </c>
      <c r="AJ56" s="51">
        <v>0</v>
      </c>
      <c r="AS56">
        <v>2003</v>
      </c>
      <c r="AT56" s="8">
        <v>19307.682086256329</v>
      </c>
      <c r="AU56" s="8">
        <v>4605.0938751697477</v>
      </c>
      <c r="AV56" s="11">
        <v>180.794552084</v>
      </c>
      <c r="AW56" s="8">
        <f t="shared" si="93"/>
        <v>42588</v>
      </c>
      <c r="AX56" s="8">
        <v>26394</v>
      </c>
      <c r="AY56">
        <f t="shared" si="94"/>
        <v>2003</v>
      </c>
      <c r="AZ56">
        <f t="shared" si="95"/>
        <v>26394</v>
      </c>
      <c r="BA56" s="8">
        <f t="shared" si="96"/>
        <v>34059.957806617436</v>
      </c>
      <c r="BC56" s="8"/>
      <c r="BD56" s="8"/>
      <c r="BE56" s="8"/>
      <c r="BH56" s="8"/>
      <c r="CB56" s="15"/>
      <c r="CC56" s="15"/>
      <c r="CD56" s="15"/>
      <c r="CE56" s="8"/>
      <c r="CF56" s="8"/>
      <c r="CG56" s="8"/>
      <c r="CK56" s="15"/>
      <c r="CL56" s="15"/>
      <c r="CM56" s="15"/>
      <c r="CN56" s="15"/>
      <c r="CO56" s="8">
        <v>45.914945930242538</v>
      </c>
      <c r="CP56" s="8">
        <v>0</v>
      </c>
      <c r="CQ56" s="56">
        <v>37438</v>
      </c>
      <c r="CR56" s="8">
        <v>84.713333606719871</v>
      </c>
      <c r="CS56" s="8">
        <v>0</v>
      </c>
      <c r="CT56" s="8">
        <v>0</v>
      </c>
      <c r="CU56" s="8">
        <v>0</v>
      </c>
      <c r="DH56">
        <f t="shared" ref="DH56:DI56" si="100">DF10</f>
        <v>2007</v>
      </c>
      <c r="DI56" s="8">
        <f t="shared" si="100"/>
        <v>0</v>
      </c>
      <c r="DJ56" s="8">
        <f t="shared" si="89"/>
        <v>995.19909463503313</v>
      </c>
    </row>
    <row r="57" spans="6:114" x14ac:dyDescent="0.25">
      <c r="F57" s="8">
        <v>289.74016625100001</v>
      </c>
      <c r="G57" s="8">
        <v>0</v>
      </c>
      <c r="H57" s="8">
        <v>39897.610872083693</v>
      </c>
      <c r="I57" s="8">
        <v>6291.8704316614931</v>
      </c>
      <c r="J57" s="8">
        <v>43791.020000000004</v>
      </c>
      <c r="L57" s="8">
        <f t="shared" si="81"/>
        <v>43292.363875008741</v>
      </c>
      <c r="R57" t="s">
        <v>166</v>
      </c>
      <c r="S57" s="8">
        <v>48000</v>
      </c>
      <c r="T57" s="39">
        <v>13463.758858139159</v>
      </c>
      <c r="U57" s="39">
        <v>660.8378580000001</v>
      </c>
      <c r="V57" s="39">
        <v>456000</v>
      </c>
      <c r="AB57" s="40">
        <f t="shared" si="82"/>
        <v>456000</v>
      </c>
      <c r="AC57" s="39">
        <f t="shared" si="83"/>
        <v>444216.84786366409</v>
      </c>
      <c r="AG57">
        <v>2002</v>
      </c>
      <c r="AH57">
        <v>7</v>
      </c>
      <c r="AI57" s="51">
        <v>4798.0870054960278</v>
      </c>
      <c r="AJ57" s="51">
        <v>0</v>
      </c>
      <c r="AS57">
        <v>2004</v>
      </c>
      <c r="AT57" s="8">
        <v>15587.23692364222</v>
      </c>
      <c r="AU57" s="8">
        <v>14537.273382782934</v>
      </c>
      <c r="AV57" s="11">
        <v>208.85484764</v>
      </c>
      <c r="AW57" s="8">
        <f t="shared" si="93"/>
        <v>26394</v>
      </c>
      <c r="AX57" s="8">
        <v>35615</v>
      </c>
      <c r="AY57">
        <f t="shared" si="94"/>
        <v>2004</v>
      </c>
      <c r="AZ57">
        <f t="shared" si="95"/>
        <v>35615</v>
      </c>
      <c r="BA57" s="8">
        <f t="shared" si="96"/>
        <v>31032.858627985574</v>
      </c>
      <c r="BC57" s="8"/>
      <c r="BD57" s="8"/>
      <c r="BE57" s="8"/>
      <c r="BH57" s="8"/>
      <c r="CB57" s="15"/>
      <c r="CC57" s="15"/>
      <c r="CD57" s="15"/>
      <c r="CE57" s="8"/>
      <c r="CF57" s="8"/>
      <c r="CG57" s="8"/>
      <c r="CK57" s="15"/>
      <c r="CL57" s="15"/>
      <c r="CM57" s="15"/>
      <c r="CN57" s="15"/>
      <c r="CO57" s="8">
        <v>39.628877314925205</v>
      </c>
      <c r="CP57" s="8">
        <v>10.898443603515652</v>
      </c>
      <c r="CQ57" s="56">
        <v>37469</v>
      </c>
      <c r="CR57" s="8">
        <v>146.00987720489513</v>
      </c>
      <c r="CS57" s="8">
        <v>0</v>
      </c>
      <c r="CT57" s="8">
        <v>0</v>
      </c>
      <c r="CU57" s="8">
        <v>0</v>
      </c>
      <c r="DH57">
        <f t="shared" ref="DH57:DI57" si="101">DF11</f>
        <v>2008</v>
      </c>
      <c r="DI57" s="8">
        <f t="shared" si="101"/>
        <v>326.43000000000006</v>
      </c>
      <c r="DJ57" s="8">
        <f t="shared" si="89"/>
        <v>5103.4547385264941</v>
      </c>
    </row>
    <row r="58" spans="6:114" x14ac:dyDescent="0.25">
      <c r="F58" s="8">
        <v>204.859741493</v>
      </c>
      <c r="G58" s="8">
        <v>122948.50585199894</v>
      </c>
      <c r="H58" s="8">
        <v>2852.1822808540901</v>
      </c>
      <c r="I58" s="8">
        <v>28083.790331691627</v>
      </c>
      <c r="J58" s="8">
        <v>49144.070000000007</v>
      </c>
      <c r="L58" s="8">
        <f t="shared" si="81"/>
        <v>49139.4549681731</v>
      </c>
      <c r="R58" t="s">
        <v>167</v>
      </c>
      <c r="S58" s="8">
        <v>72800</v>
      </c>
      <c r="T58" s="39">
        <v>334767.9640958918</v>
      </c>
      <c r="U58" s="39">
        <v>390.62382281999999</v>
      </c>
      <c r="V58" s="39">
        <v>800800</v>
      </c>
      <c r="AB58" s="40">
        <f t="shared" si="82"/>
        <v>800800</v>
      </c>
      <c r="AC58" s="39">
        <f t="shared" si="83"/>
        <v>703922.42443680216</v>
      </c>
      <c r="AG58">
        <v>2002</v>
      </c>
      <c r="AH58">
        <v>8</v>
      </c>
      <c r="AI58" s="51">
        <v>5092.4050928950282</v>
      </c>
      <c r="AJ58" s="51">
        <v>0</v>
      </c>
      <c r="AS58">
        <v>2005</v>
      </c>
      <c r="AT58" s="8">
        <v>41404.82236080373</v>
      </c>
      <c r="AU58" s="8">
        <v>19389.000976458185</v>
      </c>
      <c r="AV58" s="11">
        <v>355.68716541999999</v>
      </c>
      <c r="AW58" s="8">
        <f t="shared" si="93"/>
        <v>35615</v>
      </c>
      <c r="AX58" s="8">
        <v>42153</v>
      </c>
      <c r="AY58">
        <f t="shared" si="94"/>
        <v>2005</v>
      </c>
      <c r="AZ58">
        <f t="shared" si="95"/>
        <v>42153</v>
      </c>
      <c r="BA58" s="8">
        <f t="shared" si="96"/>
        <v>49022.238363548313</v>
      </c>
      <c r="BC58" s="8"/>
      <c r="BD58" s="8"/>
      <c r="BE58" s="8"/>
      <c r="BH58" s="8"/>
      <c r="CB58" s="15"/>
      <c r="CC58" s="15"/>
      <c r="CD58" s="15"/>
      <c r="CE58" s="8"/>
      <c r="CF58" s="8"/>
      <c r="CG58" s="8"/>
      <c r="CK58" s="15"/>
      <c r="CL58" s="15"/>
      <c r="CM58" s="15"/>
      <c r="CN58" s="15"/>
      <c r="CO58" s="8">
        <v>851.51208778619787</v>
      </c>
      <c r="CP58" s="8">
        <v>32.630559120234082</v>
      </c>
      <c r="CQ58" s="56">
        <v>37500</v>
      </c>
      <c r="CR58" s="8">
        <v>516.99212911981181</v>
      </c>
      <c r="CS58" s="8">
        <v>45.720408201217651</v>
      </c>
      <c r="CT58" s="8">
        <v>0</v>
      </c>
      <c r="CU58" s="8">
        <v>0</v>
      </c>
      <c r="DH58">
        <f t="shared" ref="DH58:DI58" si="102">DF12</f>
        <v>2009</v>
      </c>
      <c r="DI58" s="8">
        <f t="shared" si="102"/>
        <v>1619.08</v>
      </c>
      <c r="DJ58" s="8">
        <f t="shared" si="89"/>
        <v>5334.0385286234259</v>
      </c>
    </row>
    <row r="59" spans="6:114" x14ac:dyDescent="0.25">
      <c r="F59" s="8">
        <v>171.61348105699997</v>
      </c>
      <c r="G59" s="8">
        <v>5439.5832095146179</v>
      </c>
      <c r="H59" s="8">
        <v>60960.594038340263</v>
      </c>
      <c r="I59" s="8">
        <v>1395.9324777531438</v>
      </c>
      <c r="J59" s="8">
        <v>51727.76</v>
      </c>
      <c r="L59" s="8">
        <f t="shared" si="81"/>
        <v>51143.858535812316</v>
      </c>
      <c r="R59" t="s">
        <v>168</v>
      </c>
      <c r="S59" s="8">
        <v>62700</v>
      </c>
      <c r="T59" s="39">
        <v>376336.62011162395</v>
      </c>
      <c r="U59" s="39">
        <v>274.47839317</v>
      </c>
      <c r="V59" s="39">
        <v>677257</v>
      </c>
      <c r="AB59" s="40">
        <f t="shared" si="82"/>
        <v>677257</v>
      </c>
      <c r="AC59" s="39">
        <f t="shared" si="83"/>
        <v>630469.81202405691</v>
      </c>
      <c r="AG59">
        <v>2002</v>
      </c>
      <c r="AH59">
        <v>9</v>
      </c>
      <c r="AI59" s="51">
        <v>26788.814975366007</v>
      </c>
      <c r="AJ59" s="51">
        <v>0</v>
      </c>
      <c r="AS59">
        <v>2006</v>
      </c>
      <c r="AT59" s="8">
        <v>18168.336133612316</v>
      </c>
      <c r="AU59" s="8">
        <v>0</v>
      </c>
      <c r="AV59" s="11">
        <v>178.04459844300001</v>
      </c>
      <c r="AW59" s="8">
        <f t="shared" si="93"/>
        <v>42153</v>
      </c>
      <c r="AX59" s="8">
        <v>23811</v>
      </c>
      <c r="AY59">
        <f t="shared" si="94"/>
        <v>2006</v>
      </c>
      <c r="AZ59">
        <f t="shared" si="95"/>
        <v>23811</v>
      </c>
      <c r="BA59" s="8">
        <f t="shared" si="96"/>
        <v>30928.331244816971</v>
      </c>
      <c r="BC59" s="8"/>
      <c r="BD59" s="8"/>
      <c r="BE59" s="8"/>
      <c r="BH59" s="8"/>
      <c r="CB59" s="15"/>
      <c r="CC59" s="15"/>
      <c r="CD59" s="15"/>
      <c r="CE59" s="8"/>
      <c r="CF59" s="8"/>
      <c r="CG59" s="8"/>
      <c r="CK59" s="15"/>
      <c r="CL59" s="15"/>
      <c r="CM59" s="15"/>
      <c r="CN59" s="15"/>
      <c r="CO59" s="8">
        <v>329.83748911023162</v>
      </c>
      <c r="CP59" s="8">
        <v>0</v>
      </c>
      <c r="CQ59" s="56">
        <v>37530</v>
      </c>
      <c r="CR59" s="8">
        <v>337.04138820059597</v>
      </c>
      <c r="CS59" s="8">
        <v>0</v>
      </c>
      <c r="CT59" s="8">
        <v>0</v>
      </c>
      <c r="CU59" s="8">
        <v>0</v>
      </c>
      <c r="DH59">
        <f t="shared" ref="DH59:DI59" si="103">DF13</f>
        <v>2010</v>
      </c>
      <c r="DI59" s="8">
        <f t="shared" si="103"/>
        <v>5162.46</v>
      </c>
      <c r="DJ59" s="8">
        <f t="shared" si="89"/>
        <v>12487.475006129021</v>
      </c>
    </row>
    <row r="60" spans="6:114" x14ac:dyDescent="0.25">
      <c r="AG60">
        <v>2002</v>
      </c>
      <c r="AH60">
        <v>10</v>
      </c>
      <c r="AI60" s="51">
        <v>9299.915237277748</v>
      </c>
      <c r="AJ60" s="51">
        <v>0</v>
      </c>
      <c r="AK60">
        <f>AG60</f>
        <v>2002</v>
      </c>
      <c r="AL60" s="8">
        <f>SUM(AI57:AI60)</f>
        <v>45979.222311034813</v>
      </c>
      <c r="AM60" s="8">
        <f>SUM(AJ49:AJ60)</f>
        <v>1255.0271301269499</v>
      </c>
      <c r="AS60">
        <v>2007</v>
      </c>
      <c r="AT60" s="8">
        <v>10752.400651395204</v>
      </c>
      <c r="AU60" s="8">
        <v>0</v>
      </c>
      <c r="AV60" s="11">
        <v>215.92631574699999</v>
      </c>
      <c r="AW60" s="8">
        <f t="shared" si="93"/>
        <v>23811</v>
      </c>
      <c r="AX60" s="8">
        <v>18458</v>
      </c>
      <c r="AY60">
        <f t="shared" si="94"/>
        <v>2007</v>
      </c>
      <c r="AZ60">
        <f t="shared" si="95"/>
        <v>18458</v>
      </c>
      <c r="BA60" s="8">
        <f t="shared" si="96"/>
        <v>20617.393486693451</v>
      </c>
      <c r="BC60" s="8"/>
      <c r="BD60" s="8"/>
      <c r="BE60" s="8"/>
      <c r="BH60" s="8"/>
      <c r="CB60" s="15"/>
      <c r="CC60" s="15"/>
      <c r="CD60" s="15"/>
      <c r="CE60" s="8"/>
      <c r="CF60" s="10"/>
      <c r="CG60" s="8"/>
      <c r="CH60" s="8"/>
      <c r="CK60" s="15"/>
      <c r="CL60" s="15"/>
      <c r="CM60" s="15"/>
      <c r="CN60" s="15"/>
      <c r="CO60" s="8">
        <v>501.87774360179912</v>
      </c>
      <c r="CP60" s="8">
        <v>0</v>
      </c>
      <c r="CQ60" s="56">
        <v>37561</v>
      </c>
      <c r="CR60" s="8">
        <v>178.04743744921871</v>
      </c>
      <c r="CS60" s="8">
        <v>0</v>
      </c>
      <c r="CT60" s="8">
        <v>0</v>
      </c>
      <c r="CU60" s="8">
        <v>0</v>
      </c>
      <c r="CV60" s="56">
        <f>CQ60</f>
        <v>37561</v>
      </c>
      <c r="CW60" s="8">
        <f>SUM(CR56:CR64)+SUM(CO56:CO64)</f>
        <v>6370.8583297708783</v>
      </c>
      <c r="CX60" s="8">
        <f>SUM(CS48:CS59)+SUM(CP48:CP59)</f>
        <v>16475.634765918654</v>
      </c>
      <c r="CY60" s="8">
        <f t="shared" ref="CY60" si="104">SUM(CT48:CT59)</f>
        <v>0</v>
      </c>
      <c r="CZ60" s="8">
        <f>SUM(CU48:CU59)</f>
        <v>7309.5812860000005</v>
      </c>
      <c r="DH60">
        <f t="shared" ref="DH60:DI60" si="105">DF14</f>
        <v>2011</v>
      </c>
      <c r="DI60" s="8">
        <f t="shared" si="105"/>
        <v>2089.2599999999998</v>
      </c>
      <c r="DJ60" s="8">
        <f t="shared" si="89"/>
        <v>9685.1032951505495</v>
      </c>
    </row>
    <row r="61" spans="6:114" x14ac:dyDescent="0.25">
      <c r="AG61">
        <v>2002</v>
      </c>
      <c r="AH61">
        <v>11</v>
      </c>
      <c r="AI61" s="51">
        <v>14475.928366363049</v>
      </c>
      <c r="AJ61" s="51">
        <v>0</v>
      </c>
      <c r="AS61">
        <v>2008</v>
      </c>
      <c r="AT61" s="8">
        <v>14041.042824413627</v>
      </c>
      <c r="AU61" s="8">
        <v>0</v>
      </c>
      <c r="AV61" s="11">
        <v>225.98494921999998</v>
      </c>
      <c r="AW61" s="8">
        <f t="shared" si="93"/>
        <v>18458</v>
      </c>
      <c r="AX61" s="8">
        <v>20228</v>
      </c>
      <c r="AY61">
        <f t="shared" si="94"/>
        <v>2008</v>
      </c>
      <c r="AZ61">
        <f t="shared" si="95"/>
        <v>20228</v>
      </c>
      <c r="BA61" s="8">
        <f t="shared" si="96"/>
        <v>19011.468690131951</v>
      </c>
      <c r="BC61" s="8"/>
      <c r="BD61" s="8"/>
      <c r="BE61" s="8"/>
      <c r="BH61" s="8"/>
      <c r="CB61" s="15"/>
      <c r="CC61" s="15"/>
      <c r="CD61" s="15"/>
      <c r="CE61" s="8"/>
      <c r="CF61" s="8"/>
      <c r="CG61" s="8"/>
      <c r="CK61" s="15"/>
      <c r="CL61" s="15"/>
      <c r="CM61" s="15"/>
      <c r="CN61" s="15"/>
      <c r="CO61" s="8">
        <v>762.91808048486712</v>
      </c>
      <c r="CP61" s="8">
        <v>15.438688504695907</v>
      </c>
      <c r="CQ61" s="56">
        <v>37591</v>
      </c>
      <c r="CR61" s="8">
        <v>249.78138654935179</v>
      </c>
      <c r="CS61" s="8">
        <v>0</v>
      </c>
      <c r="CT61" s="8">
        <v>0</v>
      </c>
      <c r="CU61" s="8">
        <v>34.057000000000002</v>
      </c>
      <c r="CW61" s="8"/>
      <c r="CX61" s="8">
        <f>SUM(CS48:CS52)+SUM(CP48:CP52)</f>
        <v>10979.798154281087</v>
      </c>
      <c r="CY61" s="8">
        <f t="shared" ref="CY61" si="106">SUM(CT48:CT52)</f>
        <v>0</v>
      </c>
      <c r="CZ61" s="8">
        <f t="shared" ref="CZ61" si="107">SUM(CU48:CU52)</f>
        <v>6594.6019999999999</v>
      </c>
      <c r="DA61" s="8">
        <f>SUM(CX61:CZ61)</f>
        <v>17574.400154281087</v>
      </c>
      <c r="DH61">
        <f t="shared" ref="DH61:DI61" si="108">DF15</f>
        <v>2012</v>
      </c>
      <c r="DI61" s="8">
        <f t="shared" si="108"/>
        <v>9276.630000000001</v>
      </c>
      <c r="DJ61" s="8">
        <f t="shared" si="89"/>
        <v>14355.194208431338</v>
      </c>
    </row>
    <row r="62" spans="6:114" x14ac:dyDescent="0.25">
      <c r="AG62">
        <v>2002</v>
      </c>
      <c r="AH62">
        <v>12</v>
      </c>
      <c r="AI62" s="51">
        <v>22207.384127259254</v>
      </c>
      <c r="AJ62" s="51">
        <v>0</v>
      </c>
      <c r="AS62">
        <v>2009</v>
      </c>
      <c r="AT62" s="8">
        <v>4677.1610972951157</v>
      </c>
      <c r="AU62" s="8">
        <v>0</v>
      </c>
      <c r="AV62" s="11">
        <v>170.56241915099997</v>
      </c>
      <c r="AW62" s="8">
        <f t="shared" si="93"/>
        <v>20228</v>
      </c>
      <c r="AX62" s="8">
        <v>23900</v>
      </c>
      <c r="AY62">
        <f t="shared" si="94"/>
        <v>2009</v>
      </c>
      <c r="AZ62">
        <f t="shared" si="95"/>
        <v>23900</v>
      </c>
      <c r="BA62" s="8">
        <f t="shared" si="96"/>
        <v>16009.774004119459</v>
      </c>
      <c r="BC62" s="8"/>
      <c r="BD62" s="8"/>
      <c r="BE62" s="8"/>
      <c r="BH62" s="8"/>
      <c r="CB62" s="15"/>
      <c r="CC62" s="15"/>
      <c r="CD62" s="15"/>
      <c r="CE62" s="8"/>
      <c r="CF62" s="8"/>
      <c r="CG62" s="8"/>
      <c r="CK62" s="15"/>
      <c r="CL62" s="15"/>
      <c r="CM62" s="15"/>
      <c r="CN62" s="15"/>
      <c r="CO62" s="8">
        <v>1202.7669132519516</v>
      </c>
      <c r="CP62" s="8">
        <v>0</v>
      </c>
      <c r="CQ62" s="56">
        <v>37622</v>
      </c>
      <c r="CR62" s="8">
        <v>391.37814181169949</v>
      </c>
      <c r="CS62" s="8">
        <v>26.911210775375402</v>
      </c>
      <c r="CT62" s="8">
        <v>0</v>
      </c>
      <c r="CU62" s="8">
        <v>331.09</v>
      </c>
      <c r="DH62">
        <f t="shared" ref="DH62:DI62" si="109">DF16</f>
        <v>2013</v>
      </c>
      <c r="DI62" s="8">
        <f t="shared" si="109"/>
        <v>2955.23</v>
      </c>
      <c r="DJ62" s="8">
        <f t="shared" si="89"/>
        <v>10412.236251508282</v>
      </c>
    </row>
    <row r="63" spans="6:114" x14ac:dyDescent="0.25">
      <c r="AG63">
        <v>2003</v>
      </c>
      <c r="AH63">
        <v>1</v>
      </c>
      <c r="AI63" s="51">
        <v>34307.079204559341</v>
      </c>
      <c r="AJ63" s="51">
        <v>0</v>
      </c>
      <c r="AS63">
        <v>2010</v>
      </c>
      <c r="AT63" s="8">
        <v>99876.838858466028</v>
      </c>
      <c r="AU63" s="8">
        <v>308.51818466186501</v>
      </c>
      <c r="AV63" s="11">
        <v>379.97322238999999</v>
      </c>
      <c r="AW63" s="8">
        <f t="shared" si="93"/>
        <v>23900</v>
      </c>
      <c r="AX63" s="8">
        <v>51500</v>
      </c>
      <c r="AY63">
        <f t="shared" si="94"/>
        <v>2010</v>
      </c>
      <c r="AZ63">
        <f t="shared" si="95"/>
        <v>51500</v>
      </c>
      <c r="BA63" s="8">
        <f t="shared" si="96"/>
        <v>48487.269929514063</v>
      </c>
      <c r="BC63" s="8"/>
      <c r="BD63" s="8"/>
      <c r="BE63" s="8"/>
      <c r="BH63" s="8"/>
      <c r="CB63" s="15"/>
      <c r="CC63" s="15"/>
      <c r="CD63" s="15"/>
      <c r="CE63" s="8"/>
      <c r="CF63" s="8"/>
      <c r="CG63" s="8"/>
      <c r="CK63" s="15"/>
      <c r="CL63" s="15"/>
      <c r="CM63" s="15"/>
      <c r="CN63" s="15"/>
      <c r="CO63" s="8">
        <v>364.01855221334853</v>
      </c>
      <c r="CP63" s="8">
        <v>1730.732782534511</v>
      </c>
      <c r="CQ63" s="56">
        <v>37653</v>
      </c>
      <c r="CR63" s="8">
        <v>215.86235341150319</v>
      </c>
      <c r="CS63" s="8">
        <v>190.17296040058142</v>
      </c>
      <c r="CT63" s="8">
        <v>0</v>
      </c>
      <c r="CU63" s="8">
        <v>0</v>
      </c>
    </row>
    <row r="64" spans="6:114" x14ac:dyDescent="0.25">
      <c r="AG64">
        <v>2003</v>
      </c>
      <c r="AH64">
        <v>2</v>
      </c>
      <c r="AI64" s="51">
        <v>43270.935058629628</v>
      </c>
      <c r="AJ64" s="51">
        <v>2953.6499977111757</v>
      </c>
      <c r="AS64">
        <v>2011</v>
      </c>
      <c r="AT64" s="8">
        <v>41060.488315779265</v>
      </c>
      <c r="AU64" s="8">
        <v>0</v>
      </c>
      <c r="AV64" s="11">
        <v>289.74016625100001</v>
      </c>
      <c r="AW64" s="8">
        <f t="shared" si="93"/>
        <v>51500</v>
      </c>
      <c r="AX64" s="8">
        <v>50607</v>
      </c>
      <c r="AY64">
        <f t="shared" si="94"/>
        <v>2011</v>
      </c>
      <c r="AZ64">
        <f t="shared" si="95"/>
        <v>50607</v>
      </c>
      <c r="BA64" s="8">
        <f t="shared" si="96"/>
        <v>44620.66926906586</v>
      </c>
      <c r="BC64" s="8"/>
      <c r="BD64" s="8"/>
      <c r="BE64" s="8"/>
      <c r="BH64" s="8"/>
      <c r="CB64" s="15"/>
      <c r="CC64" s="15"/>
      <c r="CD64" s="15"/>
      <c r="CE64" s="8"/>
      <c r="CF64" s="8"/>
      <c r="CG64" s="8"/>
      <c r="CK64" s="15"/>
      <c r="CL64" s="15"/>
      <c r="CM64" s="15"/>
      <c r="CN64" s="15"/>
      <c r="CO64" s="8">
        <v>19.55769739672543</v>
      </c>
      <c r="CP64" s="8">
        <v>866.77467638939254</v>
      </c>
      <c r="CQ64" s="56">
        <v>37681</v>
      </c>
      <c r="CR64" s="8">
        <v>132.99989532679319</v>
      </c>
      <c r="CS64" s="8">
        <v>7143.3364259800901</v>
      </c>
      <c r="CT64" s="8">
        <v>0</v>
      </c>
      <c r="CU64" s="8">
        <v>5875.7</v>
      </c>
    </row>
    <row r="65" spans="4:114" x14ac:dyDescent="0.25">
      <c r="AG65">
        <v>2003</v>
      </c>
      <c r="AH65">
        <v>3</v>
      </c>
      <c r="AI65" s="51">
        <v>30852.153346985469</v>
      </c>
      <c r="AJ65" s="51">
        <v>1651.4438774585719</v>
      </c>
      <c r="AS65">
        <v>2012</v>
      </c>
      <c r="AT65" s="8">
        <v>29500.265728737806</v>
      </c>
      <c r="AU65" s="8">
        <v>52032.055401578553</v>
      </c>
      <c r="AV65" s="11">
        <v>204.859741493</v>
      </c>
      <c r="AW65" s="8">
        <f t="shared" si="93"/>
        <v>50607</v>
      </c>
      <c r="AX65" s="8">
        <v>67361</v>
      </c>
      <c r="AY65">
        <f t="shared" si="94"/>
        <v>2012</v>
      </c>
      <c r="AZ65">
        <f t="shared" si="95"/>
        <v>67361</v>
      </c>
      <c r="BA65" s="8">
        <f t="shared" si="96"/>
        <v>67602.232630327766</v>
      </c>
      <c r="BC65" s="8"/>
      <c r="BD65" s="8"/>
      <c r="BE65" s="8"/>
      <c r="BH65" s="8"/>
      <c r="CB65" s="15"/>
      <c r="CC65" s="15"/>
      <c r="CD65" s="15"/>
      <c r="CE65" s="8"/>
      <c r="CF65" s="8"/>
      <c r="CG65" s="8"/>
      <c r="CK65" s="15"/>
      <c r="CL65" s="15"/>
      <c r="CM65" s="15"/>
      <c r="CN65" s="15"/>
      <c r="CO65" s="8">
        <v>1.1633528575301184</v>
      </c>
      <c r="CP65" s="8">
        <v>48.171590692934089</v>
      </c>
      <c r="CQ65" s="56">
        <v>37712</v>
      </c>
      <c r="CR65" s="8">
        <v>0</v>
      </c>
      <c r="CS65" s="8">
        <v>163.35869407653809</v>
      </c>
      <c r="CT65" s="8">
        <v>0</v>
      </c>
      <c r="CU65" s="8">
        <v>2088.9</v>
      </c>
    </row>
    <row r="66" spans="4:114" x14ac:dyDescent="0.25">
      <c r="AG66">
        <v>2003</v>
      </c>
      <c r="AH66">
        <v>4</v>
      </c>
      <c r="AI66" s="51">
        <v>1580.0641400248282</v>
      </c>
      <c r="AJ66" s="51">
        <v>0</v>
      </c>
      <c r="AS66">
        <v>2013</v>
      </c>
      <c r="AT66" s="8">
        <v>51367.934927148286</v>
      </c>
      <c r="AU66" s="8">
        <v>5087.3920499086444</v>
      </c>
      <c r="AV66" s="11">
        <v>171.61348105699997</v>
      </c>
      <c r="AW66" s="8">
        <f t="shared" si="93"/>
        <v>67361</v>
      </c>
      <c r="AX66" s="8">
        <v>63247</v>
      </c>
      <c r="AY66">
        <f t="shared" si="94"/>
        <v>2013</v>
      </c>
      <c r="AZ66">
        <f t="shared" si="95"/>
        <v>63247</v>
      </c>
      <c r="BA66" s="8">
        <f t="shared" si="96"/>
        <v>55128.885379770276</v>
      </c>
      <c r="BC66" s="8"/>
      <c r="BD66" s="8"/>
      <c r="BE66" s="8"/>
      <c r="BH66" s="8"/>
      <c r="CB66" s="15"/>
      <c r="CC66" s="15"/>
      <c r="CD66" s="15"/>
      <c r="CE66" s="8"/>
      <c r="CF66" s="8"/>
      <c r="CG66" s="8"/>
      <c r="CK66" s="15"/>
      <c r="CL66" s="15"/>
      <c r="CM66" s="15"/>
      <c r="CN66" s="15"/>
      <c r="CO66" s="8">
        <v>11.172634452581411</v>
      </c>
      <c r="CP66" s="8">
        <v>48.534484465327075</v>
      </c>
      <c r="CQ66" s="56">
        <v>37742</v>
      </c>
      <c r="CR66" s="8">
        <v>0</v>
      </c>
      <c r="CS66" s="8">
        <v>74.085395246744213</v>
      </c>
      <c r="CT66" s="8">
        <v>0</v>
      </c>
      <c r="CU66" s="8">
        <v>26.690999999999999</v>
      </c>
    </row>
    <row r="67" spans="4:114" x14ac:dyDescent="0.25">
      <c r="AG67">
        <v>2003</v>
      </c>
      <c r="AH67">
        <v>5</v>
      </c>
      <c r="AI67" s="51">
        <v>1676.5144323767151</v>
      </c>
      <c r="AJ67" s="51">
        <v>0</v>
      </c>
      <c r="AT67" t="s">
        <v>91</v>
      </c>
      <c r="AU67" t="s">
        <v>73</v>
      </c>
      <c r="AV67" t="s">
        <v>144</v>
      </c>
      <c r="AW67" t="s">
        <v>153</v>
      </c>
      <c r="CB67" s="15"/>
      <c r="CC67" s="15"/>
      <c r="CD67" s="15"/>
      <c r="CE67" s="8"/>
      <c r="CF67" s="8"/>
      <c r="CG67" s="8"/>
      <c r="CK67" s="15"/>
      <c r="CL67" s="15"/>
      <c r="CM67" s="15"/>
      <c r="CN67" s="15"/>
      <c r="CO67" s="8">
        <v>35.706202904880044</v>
      </c>
      <c r="CP67" s="8">
        <v>0</v>
      </c>
      <c r="CQ67" s="56">
        <v>37773</v>
      </c>
      <c r="CR67" s="8">
        <v>4.4382734298706099</v>
      </c>
      <c r="CS67" s="8">
        <v>0</v>
      </c>
      <c r="CT67" s="8">
        <v>0</v>
      </c>
      <c r="CU67" s="8">
        <v>0</v>
      </c>
      <c r="DH67" t="s">
        <v>43</v>
      </c>
      <c r="DI67" t="s">
        <v>384</v>
      </c>
      <c r="DJ67" t="s">
        <v>238</v>
      </c>
    </row>
    <row r="68" spans="4:114" x14ac:dyDescent="0.25">
      <c r="AG68">
        <v>2003</v>
      </c>
      <c r="AH68">
        <v>6</v>
      </c>
      <c r="AI68" s="51">
        <v>1063.1035483777521</v>
      </c>
      <c r="AJ68" s="51">
        <v>0</v>
      </c>
      <c r="AT68">
        <f t="array" ref="AT68:AW72">LINEST(AX52:AX66,AT52:AW66,0,1)</f>
        <v>0.51021235888825767</v>
      </c>
      <c r="AU68">
        <v>26.167559110919083</v>
      </c>
      <c r="AV68">
        <v>0.55136219801737352</v>
      </c>
      <c r="AW68">
        <v>0.26212401022527293</v>
      </c>
      <c r="CB68" s="15"/>
      <c r="CC68" s="15"/>
      <c r="CD68" s="15"/>
      <c r="CE68" s="8"/>
      <c r="CF68" s="8"/>
      <c r="CG68" s="8"/>
      <c r="CK68" s="15"/>
      <c r="CL68" s="15"/>
      <c r="CM68" s="15"/>
      <c r="CN68" s="15"/>
      <c r="CO68" s="8">
        <v>49.38318611178547</v>
      </c>
      <c r="CP68" s="8">
        <v>0</v>
      </c>
      <c r="CQ68" s="56">
        <v>37803</v>
      </c>
      <c r="CR68" s="8">
        <v>56.495527148246751</v>
      </c>
      <c r="CS68" s="8">
        <v>0</v>
      </c>
      <c r="CT68" s="8">
        <v>0</v>
      </c>
      <c r="CU68" s="8">
        <v>0</v>
      </c>
      <c r="DH68">
        <f>DH48</f>
        <v>1999</v>
      </c>
      <c r="DI68" s="8">
        <f>DI48</f>
        <v>15147.43725950543</v>
      </c>
      <c r="DJ68" s="8">
        <f>($DK$39*DI24)+($DL$39*DH24)</f>
        <v>12683.947773013308</v>
      </c>
    </row>
    <row r="69" spans="4:114" x14ac:dyDescent="0.25">
      <c r="AG69">
        <v>2003</v>
      </c>
      <c r="AH69">
        <v>7</v>
      </c>
      <c r="AI69" s="51">
        <v>1795.9858734197915</v>
      </c>
      <c r="AJ69" s="51">
        <v>0</v>
      </c>
      <c r="AT69">
        <v>8.3131235848685828E-2</v>
      </c>
      <c r="AU69">
        <v>17.355931446074951</v>
      </c>
      <c r="AV69">
        <v>0.10530646587022736</v>
      </c>
      <c r="AW69">
        <v>8.3247175409499108E-2</v>
      </c>
      <c r="CB69" s="15"/>
      <c r="CC69" s="15"/>
      <c r="CD69" s="15"/>
      <c r="CE69" s="8"/>
      <c r="CF69" s="8"/>
      <c r="CG69" s="8"/>
      <c r="CK69" s="15"/>
      <c r="CL69" s="15"/>
      <c r="CM69" s="15"/>
      <c r="CN69" s="15"/>
      <c r="CO69" s="8">
        <v>50.380202296376233</v>
      </c>
      <c r="CP69" s="8">
        <v>68.444258281681712</v>
      </c>
      <c r="CQ69" s="56">
        <v>37834</v>
      </c>
      <c r="CR69" s="8">
        <v>55.452498286962552</v>
      </c>
      <c r="CS69" s="8">
        <v>29.792967230081569</v>
      </c>
      <c r="CT69" s="8">
        <v>0</v>
      </c>
      <c r="CU69" s="8">
        <v>0</v>
      </c>
      <c r="DH69">
        <f t="shared" ref="DH69:DI69" si="110">DH49</f>
        <v>2000</v>
      </c>
      <c r="DI69" s="8">
        <f t="shared" si="110"/>
        <v>12437.739534997911</v>
      </c>
      <c r="DJ69" s="8">
        <f t="shared" ref="DJ69:DJ82" si="111">($DK$39*DI25)+($DL$39*DH25)</f>
        <v>12437.739534997911</v>
      </c>
    </row>
    <row r="70" spans="4:114" x14ac:dyDescent="0.25">
      <c r="AG70">
        <v>2003</v>
      </c>
      <c r="AH70">
        <v>8</v>
      </c>
      <c r="AI70" s="51">
        <v>3809.4959257952855</v>
      </c>
      <c r="AJ70" s="51">
        <v>0</v>
      </c>
      <c r="AT70">
        <v>0.98477992262309932</v>
      </c>
      <c r="AU70">
        <v>6354.830518656303</v>
      </c>
      <c r="AV70" t="e">
        <v>#N/A</v>
      </c>
      <c r="AW70" t="e">
        <v>#N/A</v>
      </c>
      <c r="CB70" s="15"/>
      <c r="CC70" s="15"/>
      <c r="CD70" s="15"/>
      <c r="CE70" s="8"/>
      <c r="CF70" s="8"/>
      <c r="CG70" s="8"/>
      <c r="CK70" s="15"/>
      <c r="CL70" s="15"/>
      <c r="CM70" s="15"/>
      <c r="CN70" s="15"/>
      <c r="CO70" s="8">
        <v>228.48911989629261</v>
      </c>
      <c r="CP70" s="8">
        <v>1.2340389728546131</v>
      </c>
      <c r="CQ70" s="56">
        <v>37865</v>
      </c>
      <c r="CR70" s="8">
        <v>98.001752491109016</v>
      </c>
      <c r="CS70" s="8">
        <v>117.4612885713576</v>
      </c>
      <c r="CT70" s="8">
        <v>0</v>
      </c>
      <c r="CU70" s="8">
        <v>0</v>
      </c>
      <c r="DH70">
        <f t="shared" ref="DH70:DI70" si="112">DH50</f>
        <v>2001</v>
      </c>
      <c r="DI70" s="8">
        <f t="shared" si="112"/>
        <v>17135</v>
      </c>
      <c r="DJ70" s="8">
        <f t="shared" si="111"/>
        <v>14380.859600463056</v>
      </c>
    </row>
    <row r="71" spans="4:114" x14ac:dyDescent="0.25">
      <c r="AG71">
        <v>2003</v>
      </c>
      <c r="AH71">
        <v>9</v>
      </c>
      <c r="AI71" s="51">
        <v>6907.2761443257341</v>
      </c>
      <c r="AJ71" s="51">
        <v>0</v>
      </c>
      <c r="AT71">
        <v>177.93239286178925</v>
      </c>
      <c r="AU71">
        <v>11</v>
      </c>
      <c r="AV71" t="e">
        <v>#N/A</v>
      </c>
      <c r="AW71" t="e">
        <v>#N/A</v>
      </c>
      <c r="CB71" s="15"/>
      <c r="CC71" s="15"/>
      <c r="CD71" s="15"/>
      <c r="CE71" s="8"/>
      <c r="CF71" s="8"/>
      <c r="CG71" s="8"/>
      <c r="CK71" s="15"/>
      <c r="CL71" s="15"/>
      <c r="CM71" s="15"/>
      <c r="CN71" s="15"/>
      <c r="CO71" s="8">
        <v>30.036511057987816</v>
      </c>
      <c r="CP71" s="8">
        <v>171.77742012771776</v>
      </c>
      <c r="CQ71" s="56">
        <v>37895</v>
      </c>
      <c r="CR71" s="8">
        <v>70.593727320432691</v>
      </c>
      <c r="CS71" s="8">
        <v>151.3561124801636</v>
      </c>
      <c r="CT71" s="8">
        <v>0</v>
      </c>
      <c r="CU71" s="8">
        <v>2014.9</v>
      </c>
      <c r="DH71">
        <f t="shared" ref="DH71:DI71" si="113">DH51</f>
        <v>2002</v>
      </c>
      <c r="DI71" s="8">
        <f t="shared" si="113"/>
        <v>6540</v>
      </c>
      <c r="DJ71" s="8">
        <f t="shared" si="111"/>
        <v>5414.1232603673097</v>
      </c>
    </row>
    <row r="72" spans="4:114" x14ac:dyDescent="0.25">
      <c r="AG72">
        <v>2003</v>
      </c>
      <c r="AH72">
        <v>10</v>
      </c>
      <c r="AI72" s="51">
        <v>6794.9241427155175</v>
      </c>
      <c r="AJ72" s="51">
        <v>0</v>
      </c>
      <c r="AK72">
        <f>AG72</f>
        <v>2003</v>
      </c>
      <c r="AL72" s="8">
        <f>SUM(AI69:AI72)</f>
        <v>19307.682086256329</v>
      </c>
      <c r="AM72" s="8">
        <f>SUM(AJ61:AJ72)</f>
        <v>4605.0938751697477</v>
      </c>
      <c r="AT72">
        <v>28742395143.870701</v>
      </c>
      <c r="AU72">
        <v>444222580.12930095</v>
      </c>
      <c r="AV72" t="e">
        <v>#N/A</v>
      </c>
      <c r="AW72" t="e">
        <v>#N/A</v>
      </c>
      <c r="CB72" s="15"/>
      <c r="CC72" s="15"/>
      <c r="CD72" s="15"/>
      <c r="CE72" s="8"/>
      <c r="CF72" s="10"/>
      <c r="CG72" s="8"/>
      <c r="CH72" s="8"/>
      <c r="CK72" s="15"/>
      <c r="CL72" s="15"/>
      <c r="CM72" s="15"/>
      <c r="CN72" s="15"/>
      <c r="CO72" s="8">
        <v>282.73042385280138</v>
      </c>
      <c r="CP72" s="8">
        <v>0</v>
      </c>
      <c r="CQ72" s="56">
        <v>37926</v>
      </c>
      <c r="CR72" s="8">
        <v>194.01626900164422</v>
      </c>
      <c r="CS72" s="8">
        <v>0</v>
      </c>
      <c r="CT72" s="8">
        <v>0</v>
      </c>
      <c r="CU72" s="8">
        <v>0</v>
      </c>
      <c r="CV72" s="56">
        <f>CQ72</f>
        <v>37926</v>
      </c>
      <c r="CW72" s="8">
        <f>SUM(CR68:CR76)+SUM(CO68:CO76)</f>
        <v>2652.8180029135897</v>
      </c>
      <c r="CX72" s="8">
        <f>SUM(CS60:CS71)+SUM(CP60:CP71)</f>
        <v>10847.582994730048</v>
      </c>
      <c r="CY72" s="8">
        <f t="shared" ref="CY72" si="114">SUM(CT60:CT71)</f>
        <v>0</v>
      </c>
      <c r="CZ72" s="8">
        <f>SUM(CU60:CU71)</f>
        <v>10371.338</v>
      </c>
      <c r="DH72">
        <f t="shared" ref="DH72:DI72" si="115">DH52</f>
        <v>2003</v>
      </c>
      <c r="DI72" s="8">
        <f t="shared" si="115"/>
        <v>419</v>
      </c>
      <c r="DJ72" s="8">
        <f t="shared" si="111"/>
        <v>4285.8541777253286</v>
      </c>
    </row>
    <row r="73" spans="4:114" x14ac:dyDescent="0.25">
      <c r="AG73">
        <v>2003</v>
      </c>
      <c r="AH73">
        <v>11</v>
      </c>
      <c r="AI73" s="51">
        <v>6732.787462532523</v>
      </c>
      <c r="AJ73" s="51">
        <v>0</v>
      </c>
      <c r="CB73" s="15"/>
      <c r="CC73" s="15"/>
      <c r="CD73" s="15"/>
      <c r="CE73" s="8"/>
      <c r="CF73" s="8"/>
      <c r="CG73" s="8"/>
      <c r="CK73" s="15"/>
      <c r="CL73" s="15"/>
      <c r="CM73" s="15"/>
      <c r="CN73" s="15"/>
      <c r="CO73" s="8">
        <v>493.58739458769571</v>
      </c>
      <c r="CP73" s="8">
        <v>75.306410810328089</v>
      </c>
      <c r="CQ73" s="56">
        <v>37956</v>
      </c>
      <c r="CR73" s="8">
        <v>285.8048104112969</v>
      </c>
      <c r="CS73" s="8">
        <v>6505.2082078456879</v>
      </c>
      <c r="CT73" s="8">
        <v>0</v>
      </c>
      <c r="CU73" s="8">
        <v>6375.1</v>
      </c>
      <c r="CW73" s="8"/>
      <c r="CX73" s="8">
        <f>SUM(CS60:CS64)+SUM(CP60:CP64)</f>
        <v>9973.3667445846459</v>
      </c>
      <c r="CY73" s="8">
        <f t="shared" ref="CY73" si="116">SUM(CT60:CT64)</f>
        <v>0</v>
      </c>
      <c r="CZ73" s="8">
        <f t="shared" ref="CZ73" si="117">SUM(CU60:CU64)</f>
        <v>6240.8469999999998</v>
      </c>
      <c r="DA73" s="8">
        <f>SUM(CX73:CZ73)</f>
        <v>16214.213744584646</v>
      </c>
      <c r="DH73">
        <f t="shared" ref="DH73:DI73" si="118">DH53</f>
        <v>2004</v>
      </c>
      <c r="DI73" s="8">
        <f t="shared" si="118"/>
        <v>6109.7</v>
      </c>
      <c r="DJ73" s="8">
        <f t="shared" si="111"/>
        <v>8160.0645142969051</v>
      </c>
    </row>
    <row r="74" spans="4:114" x14ac:dyDescent="0.25">
      <c r="AG74">
        <v>2003</v>
      </c>
      <c r="AH74">
        <v>12</v>
      </c>
      <c r="AI74" s="51">
        <v>12441.175268461113</v>
      </c>
      <c r="AJ74" s="51">
        <v>0</v>
      </c>
      <c r="CB74" s="15"/>
      <c r="CC74" s="15"/>
      <c r="CD74" s="15"/>
      <c r="CE74" s="8"/>
      <c r="CF74" s="8"/>
      <c r="CG74" s="8"/>
      <c r="CK74" s="15"/>
      <c r="CL74" s="15"/>
      <c r="CM74" s="15"/>
      <c r="CN74" s="15"/>
      <c r="CO74" s="8">
        <v>459.10850214958191</v>
      </c>
      <c r="CP74" s="8">
        <v>1847.345036444533</v>
      </c>
      <c r="CQ74" s="56">
        <v>37987</v>
      </c>
      <c r="CR74" s="8">
        <v>174.65348137763786</v>
      </c>
      <c r="CS74" s="8">
        <v>7842.784776687623</v>
      </c>
      <c r="CT74" s="8">
        <v>0</v>
      </c>
      <c r="CU74" s="8">
        <v>1205.2</v>
      </c>
      <c r="DH74">
        <f t="shared" ref="DH74:DI74" si="119">DH54</f>
        <v>2005</v>
      </c>
      <c r="DI74" s="8">
        <f t="shared" si="119"/>
        <v>8262</v>
      </c>
      <c r="DJ74" s="8">
        <f t="shared" si="111"/>
        <v>8482.4700762445445</v>
      </c>
    </row>
    <row r="75" spans="4:114" x14ac:dyDescent="0.25">
      <c r="AG75">
        <v>2004</v>
      </c>
      <c r="AH75">
        <v>1</v>
      </c>
      <c r="AI75" s="51">
        <v>46099.406350186793</v>
      </c>
      <c r="AJ75" s="51">
        <v>14537.273382782934</v>
      </c>
      <c r="CB75" s="15"/>
      <c r="CC75" s="15"/>
      <c r="CD75" s="15"/>
      <c r="CE75" s="8"/>
      <c r="CF75" s="8"/>
      <c r="CG75" s="8"/>
      <c r="CK75" s="15"/>
      <c r="CL75" s="15"/>
      <c r="CM75" s="15"/>
      <c r="CN75" s="15"/>
      <c r="CO75" s="8">
        <v>19.828218341618776</v>
      </c>
      <c r="CP75" s="8">
        <v>1.9058165880502203</v>
      </c>
      <c r="CQ75" s="56">
        <v>38018</v>
      </c>
      <c r="CR75" s="8">
        <v>79.423515200614943</v>
      </c>
      <c r="CS75" s="8">
        <v>9215.9973240196705</v>
      </c>
      <c r="CT75" s="8">
        <v>0</v>
      </c>
      <c r="CU75" s="8">
        <v>716.9</v>
      </c>
      <c r="DH75">
        <f t="shared" ref="DH75:DI75" si="120">DH55</f>
        <v>2006</v>
      </c>
      <c r="DI75" s="8">
        <f t="shared" si="120"/>
        <v>3288</v>
      </c>
      <c r="DJ75" s="8">
        <f t="shared" si="111"/>
        <v>3750.6254236152458</v>
      </c>
    </row>
    <row r="76" spans="4:114" x14ac:dyDescent="0.25">
      <c r="AG76">
        <v>2004</v>
      </c>
      <c r="AH76">
        <v>2</v>
      </c>
      <c r="AI76" s="51">
        <v>714.36324688547768</v>
      </c>
      <c r="AJ76" s="51">
        <v>0</v>
      </c>
      <c r="CB76" s="15"/>
      <c r="CC76" s="15"/>
      <c r="CD76" s="15"/>
      <c r="CE76" s="8"/>
      <c r="CF76" s="8"/>
      <c r="CG76" s="8"/>
      <c r="CK76" s="15"/>
      <c r="CL76" s="15"/>
      <c r="CM76" s="15"/>
      <c r="CN76" s="15"/>
      <c r="CO76" s="8">
        <v>5.7010818034410491</v>
      </c>
      <c r="CP76" s="8">
        <v>0</v>
      </c>
      <c r="CQ76" s="56">
        <v>38047</v>
      </c>
      <c r="CR76" s="8">
        <v>19.131781578064</v>
      </c>
      <c r="CS76" s="8">
        <v>6134.7656326293945</v>
      </c>
      <c r="CT76" s="8">
        <v>0</v>
      </c>
      <c r="CU76" s="8">
        <v>30.952999999999999</v>
      </c>
      <c r="DH76">
        <f t="shared" ref="DH76:DI76" si="121">DH56</f>
        <v>2007</v>
      </c>
      <c r="DI76" s="8">
        <f t="shared" si="121"/>
        <v>0</v>
      </c>
      <c r="DJ76" s="8">
        <f t="shared" si="111"/>
        <v>1530.0710861218415</v>
      </c>
    </row>
    <row r="77" spans="4:114" x14ac:dyDescent="0.25">
      <c r="AG77">
        <v>2004</v>
      </c>
      <c r="AH77">
        <v>3</v>
      </c>
      <c r="AI77" s="51">
        <v>119.62581336498256</v>
      </c>
      <c r="AJ77" s="51">
        <v>0</v>
      </c>
      <c r="AO77">
        <f>AG72</f>
        <v>2003</v>
      </c>
      <c r="AP77" s="8">
        <f>SUM(AI73:AI77)</f>
        <v>66107.358141430886</v>
      </c>
      <c r="AQ77" s="8">
        <f>SUM(AJ73:AJ77)</f>
        <v>14537.273382782934</v>
      </c>
      <c r="CB77" s="15"/>
      <c r="CC77" s="15"/>
      <c r="CD77" s="15"/>
      <c r="CE77" s="8"/>
      <c r="CF77" s="8"/>
      <c r="CG77" s="8"/>
      <c r="CK77" s="15"/>
      <c r="CL77" s="15"/>
      <c r="CM77" s="15"/>
      <c r="CN77" s="15"/>
      <c r="CO77" s="8">
        <v>1.6144830912351609</v>
      </c>
      <c r="CP77" s="8">
        <v>0</v>
      </c>
      <c r="CQ77" s="56">
        <v>38078</v>
      </c>
      <c r="CR77" s="8">
        <v>0</v>
      </c>
      <c r="CS77" s="8">
        <v>35</v>
      </c>
      <c r="CT77" s="8">
        <v>0</v>
      </c>
      <c r="CU77" s="8">
        <v>5.0686</v>
      </c>
      <c r="DH77">
        <f t="shared" ref="DH77:DI77" si="122">DH57</f>
        <v>2008</v>
      </c>
      <c r="DI77" s="8">
        <f t="shared" si="122"/>
        <v>326.43000000000006</v>
      </c>
      <c r="DJ77" s="8">
        <f t="shared" si="111"/>
        <v>6305.3392332850844</v>
      </c>
    </row>
    <row r="78" spans="4:114" ht="15.75" thickBot="1" x14ac:dyDescent="0.3">
      <c r="E78" t="s">
        <v>254</v>
      </c>
      <c r="AG78">
        <v>2004</v>
      </c>
      <c r="AH78">
        <v>4</v>
      </c>
      <c r="AI78" s="51">
        <v>32.289661824703217</v>
      </c>
      <c r="AJ78" s="51">
        <v>0</v>
      </c>
      <c r="CB78" s="15"/>
      <c r="CC78" s="15"/>
      <c r="CD78" s="15"/>
      <c r="CE78" s="8"/>
      <c r="CF78" s="8"/>
      <c r="CG78" s="8"/>
      <c r="CK78" s="15"/>
      <c r="CL78" s="15"/>
      <c r="CM78" s="15"/>
      <c r="CN78" s="15"/>
      <c r="CO78" s="8">
        <v>1.9164104998111751</v>
      </c>
      <c r="CP78" s="8">
        <v>0</v>
      </c>
      <c r="CQ78" s="56">
        <v>38108</v>
      </c>
      <c r="CR78" s="8">
        <v>0</v>
      </c>
      <c r="CS78" s="8">
        <v>0</v>
      </c>
      <c r="CT78" s="8">
        <v>0</v>
      </c>
      <c r="CU78" s="8">
        <v>0</v>
      </c>
      <c r="DH78">
        <f t="shared" ref="DH78:DI78" si="123">DH58</f>
        <v>2009</v>
      </c>
      <c r="DI78" s="8">
        <f t="shared" si="123"/>
        <v>1619.08</v>
      </c>
      <c r="DJ78" s="8">
        <f t="shared" si="111"/>
        <v>6633.1361881133398</v>
      </c>
    </row>
    <row r="79" spans="4:114" x14ac:dyDescent="0.25">
      <c r="E79" s="63" t="s">
        <v>109</v>
      </c>
      <c r="F79" s="63" t="s">
        <v>110</v>
      </c>
      <c r="G79" s="63" t="s">
        <v>111</v>
      </c>
      <c r="H79" s="63" t="s">
        <v>112</v>
      </c>
      <c r="I79" s="63" t="s">
        <v>113</v>
      </c>
      <c r="J79" s="63" t="s">
        <v>114</v>
      </c>
      <c r="K79" s="63" t="s">
        <v>115</v>
      </c>
      <c r="L79" s="63" t="s">
        <v>116</v>
      </c>
      <c r="M79" s="63" t="s">
        <v>117</v>
      </c>
      <c r="N79" s="63" t="s">
        <v>338</v>
      </c>
      <c r="O79" s="63" t="s">
        <v>124</v>
      </c>
      <c r="P79" s="64"/>
      <c r="AG79">
        <v>2004</v>
      </c>
      <c r="AH79">
        <v>5</v>
      </c>
      <c r="AI79" s="51">
        <v>38.328209996223499</v>
      </c>
      <c r="AJ79" s="51">
        <v>0</v>
      </c>
      <c r="CB79" s="15"/>
      <c r="CC79" s="15"/>
      <c r="CD79" s="15"/>
      <c r="CE79" s="8"/>
      <c r="CF79" s="8"/>
      <c r="CG79" s="8"/>
      <c r="CK79" s="15"/>
      <c r="CL79" s="15"/>
      <c r="CM79" s="15"/>
      <c r="CN79" s="15"/>
      <c r="CO79" s="8">
        <v>7.671882584691045</v>
      </c>
      <c r="CP79" s="8">
        <v>0</v>
      </c>
      <c r="CQ79" s="56">
        <v>38139</v>
      </c>
      <c r="CR79" s="8">
        <v>0</v>
      </c>
      <c r="CS79" s="8">
        <v>0</v>
      </c>
      <c r="CT79" s="8">
        <v>0</v>
      </c>
      <c r="CU79" s="8">
        <v>0</v>
      </c>
      <c r="DH79">
        <f t="shared" ref="DH79:DI79" si="124">DH59</f>
        <v>2010</v>
      </c>
      <c r="DI79" s="8">
        <f t="shared" si="124"/>
        <v>5162.46</v>
      </c>
      <c r="DJ79" s="8">
        <f t="shared" si="111"/>
        <v>13730.626580602211</v>
      </c>
    </row>
    <row r="80" spans="4:114" x14ac:dyDescent="0.25">
      <c r="D80" t="s">
        <v>343</v>
      </c>
      <c r="E80" s="61">
        <v>33.200000000000003</v>
      </c>
      <c r="F80" s="61">
        <v>33</v>
      </c>
      <c r="G80" s="61">
        <v>33</v>
      </c>
      <c r="H80" s="61">
        <v>33</v>
      </c>
      <c r="I80" s="61">
        <v>33</v>
      </c>
      <c r="J80" s="61">
        <v>34.85</v>
      </c>
      <c r="K80" s="61">
        <v>41.35</v>
      </c>
      <c r="L80" s="61">
        <v>32.93</v>
      </c>
      <c r="M80" s="61">
        <v>23.49</v>
      </c>
      <c r="N80" s="61">
        <v>29.33</v>
      </c>
      <c r="O80" s="61">
        <v>46.38</v>
      </c>
      <c r="P80" s="62"/>
      <c r="AG80">
        <v>2004</v>
      </c>
      <c r="AH80">
        <v>6</v>
      </c>
      <c r="AI80" s="51">
        <v>187.69270330667487</v>
      </c>
      <c r="AJ80" s="51">
        <v>0</v>
      </c>
      <c r="CB80" s="15"/>
      <c r="CC80" s="15"/>
      <c r="CD80" s="15"/>
      <c r="CE80" s="8"/>
      <c r="CF80" s="8"/>
      <c r="CG80" s="8"/>
      <c r="CK80" s="15"/>
      <c r="CL80" s="15"/>
      <c r="CM80" s="15"/>
      <c r="CN80" s="15"/>
      <c r="CO80" s="8">
        <v>38.098579853773138</v>
      </c>
      <c r="CP80" s="8">
        <v>0</v>
      </c>
      <c r="CQ80" s="56">
        <v>38169</v>
      </c>
      <c r="CR80" s="8">
        <v>0</v>
      </c>
      <c r="CS80" s="8">
        <v>0</v>
      </c>
      <c r="CT80" s="8">
        <v>0</v>
      </c>
      <c r="CU80" s="8">
        <v>0</v>
      </c>
      <c r="DH80">
        <f t="shared" ref="DH80:DI80" si="125">DH60</f>
        <v>2011</v>
      </c>
      <c r="DI80" s="8">
        <f t="shared" si="125"/>
        <v>2089.2599999999998</v>
      </c>
      <c r="DJ80" s="8">
        <f t="shared" si="111"/>
        <v>11240.875399428051</v>
      </c>
    </row>
    <row r="81" spans="1:114" x14ac:dyDescent="0.25">
      <c r="D81" t="s">
        <v>66</v>
      </c>
      <c r="E81" s="8">
        <f>E80*1000</f>
        <v>33200</v>
      </c>
      <c r="F81" s="8">
        <f t="shared" ref="F81:O81" si="126">F80*1000</f>
        <v>33000</v>
      </c>
      <c r="G81" s="8">
        <f t="shared" si="126"/>
        <v>33000</v>
      </c>
      <c r="H81" s="8">
        <f t="shared" si="126"/>
        <v>33000</v>
      </c>
      <c r="I81" s="8">
        <f t="shared" si="126"/>
        <v>33000</v>
      </c>
      <c r="J81" s="8">
        <f t="shared" si="126"/>
        <v>34850</v>
      </c>
      <c r="K81" s="8">
        <f t="shared" si="126"/>
        <v>41350</v>
      </c>
      <c r="L81" s="8">
        <f t="shared" si="126"/>
        <v>32930</v>
      </c>
      <c r="M81" s="8">
        <f t="shared" si="126"/>
        <v>23490</v>
      </c>
      <c r="N81" s="8">
        <f t="shared" si="126"/>
        <v>29330</v>
      </c>
      <c r="O81" s="8">
        <f t="shared" si="126"/>
        <v>46380</v>
      </c>
      <c r="AG81">
        <v>2004</v>
      </c>
      <c r="AH81">
        <v>7</v>
      </c>
      <c r="AI81" s="51">
        <v>757.06882083416008</v>
      </c>
      <c r="AJ81" s="51">
        <v>0</v>
      </c>
      <c r="CB81" s="15"/>
      <c r="CC81" s="15"/>
      <c r="CD81" s="15"/>
      <c r="CE81" s="8"/>
      <c r="CF81" s="8"/>
      <c r="CG81" s="8"/>
      <c r="CK81" s="15"/>
      <c r="CL81" s="15"/>
      <c r="CM81" s="15"/>
      <c r="CN81" s="15"/>
      <c r="CO81" s="8">
        <v>50.848588615655906</v>
      </c>
      <c r="CP81" s="8">
        <v>3.9882659912109401E-3</v>
      </c>
      <c r="CQ81" s="56">
        <v>38200</v>
      </c>
      <c r="CR81" s="8">
        <v>0</v>
      </c>
      <c r="CS81" s="8">
        <v>71.424411773681612</v>
      </c>
      <c r="CT81" s="8">
        <v>0</v>
      </c>
      <c r="CU81" s="8">
        <v>0</v>
      </c>
      <c r="DH81">
        <f t="shared" ref="DH81:DI81" si="127">DH61</f>
        <v>2012</v>
      </c>
      <c r="DI81" s="8">
        <f t="shared" si="127"/>
        <v>9276.630000000001</v>
      </c>
      <c r="DJ81" s="8">
        <f t="shared" si="111"/>
        <v>10590.314479473665</v>
      </c>
    </row>
    <row r="82" spans="1:114" x14ac:dyDescent="0.25">
      <c r="B82" t="s">
        <v>358</v>
      </c>
      <c r="C82" t="s">
        <v>359</v>
      </c>
      <c r="D82" t="s">
        <v>360</v>
      </c>
      <c r="E82" t="s">
        <v>363</v>
      </c>
      <c r="F82" t="s">
        <v>364</v>
      </c>
      <c r="AG82">
        <v>2004</v>
      </c>
      <c r="AH82">
        <v>8</v>
      </c>
      <c r="AI82" s="51">
        <v>1912.5000706911087</v>
      </c>
      <c r="AJ82" s="51">
        <v>0</v>
      </c>
      <c r="CB82" s="15"/>
      <c r="CC82" s="15"/>
      <c r="CD82" s="15"/>
      <c r="CE82" s="8"/>
      <c r="CF82" s="8"/>
      <c r="CG82" s="8"/>
      <c r="CK82" s="15"/>
      <c r="CL82" s="15"/>
      <c r="CM82" s="15"/>
      <c r="CN82" s="15"/>
      <c r="CO82" s="8">
        <v>58.753248783200981</v>
      </c>
      <c r="CP82" s="8">
        <v>213.53174850316714</v>
      </c>
      <c r="CQ82" s="56">
        <v>38231</v>
      </c>
      <c r="CR82" s="8">
        <v>40.259534835815401</v>
      </c>
      <c r="CS82" s="8">
        <v>625.62419414520264</v>
      </c>
      <c r="CT82" s="8">
        <v>0</v>
      </c>
      <c r="CU82" s="8">
        <v>2225.3000000000002</v>
      </c>
      <c r="DH82">
        <f t="shared" ref="DH82:DI82" si="128">DH62</f>
        <v>2013</v>
      </c>
      <c r="DI82" s="8">
        <f t="shared" si="128"/>
        <v>2955.23</v>
      </c>
      <c r="DJ82" s="8">
        <f t="shared" si="111"/>
        <v>8465.9030240946267</v>
      </c>
    </row>
    <row r="83" spans="1:114" x14ac:dyDescent="0.25">
      <c r="A83" t="str">
        <f t="array" ref="A83:A93">TRANSPOSE(E79:O79)</f>
        <v>2003-04</v>
      </c>
      <c r="B83" s="8">
        <f t="array" ref="B83:B93">TRANSPOSE(E81:O81)</f>
        <v>33200</v>
      </c>
      <c r="C83" s="8">
        <v>17127</v>
      </c>
      <c r="D83" s="11">
        <v>462.50646367000002</v>
      </c>
      <c r="E83" s="11">
        <f>D83-$Q$20</f>
        <v>64.344715381200047</v>
      </c>
      <c r="F83" s="8">
        <f t="shared" ref="F83:F86" si="129">B83/(9-(E83/100))</f>
        <v>3972.930059928336</v>
      </c>
      <c r="AG83">
        <v>2004</v>
      </c>
      <c r="AH83">
        <v>9</v>
      </c>
      <c r="AI83" s="51">
        <v>10443.780878714982</v>
      </c>
      <c r="AJ83" s="51">
        <v>0</v>
      </c>
      <c r="CB83" s="15"/>
      <c r="CC83" s="15"/>
      <c r="CD83" s="15"/>
      <c r="CE83" s="8"/>
      <c r="CF83" s="8"/>
      <c r="CG83" s="8"/>
      <c r="CK83" s="15"/>
      <c r="CL83" s="15"/>
      <c r="CM83" s="15"/>
      <c r="CN83" s="15"/>
      <c r="CO83" s="8">
        <v>9.0227702081203471</v>
      </c>
      <c r="CP83" s="8">
        <v>10.413368809223172</v>
      </c>
      <c r="CQ83" s="56">
        <v>38261</v>
      </c>
      <c r="CR83" s="8">
        <v>0</v>
      </c>
      <c r="CS83" s="8">
        <v>12.2310743331909</v>
      </c>
      <c r="CT83" s="8">
        <v>0</v>
      </c>
      <c r="CU83" s="8">
        <v>0.26656000000000002</v>
      </c>
      <c r="DI83" s="8"/>
      <c r="DJ83" s="8"/>
    </row>
    <row r="84" spans="1:114" x14ac:dyDescent="0.25">
      <c r="A84" t="str">
        <v>2004-05</v>
      </c>
      <c r="B84" s="8">
        <v>33000</v>
      </c>
      <c r="C84" s="8">
        <v>37022.200000000012</v>
      </c>
      <c r="D84" s="11">
        <v>421.14773779000001</v>
      </c>
      <c r="E84" s="11">
        <f t="shared" ref="E84:E93" si="130">D84-$Q$20</f>
        <v>22.985989501200038</v>
      </c>
      <c r="F84" s="8">
        <f t="shared" si="129"/>
        <v>3762.7677100883843</v>
      </c>
      <c r="H84">
        <f t="array" ref="H84:I88">LINEST(B83:B93,C83:D93,0,1)</f>
        <v>50.810621516860223</v>
      </c>
      <c r="I84">
        <v>0.3434212124802547</v>
      </c>
      <c r="AG84">
        <v>2004</v>
      </c>
      <c r="AH84">
        <v>10</v>
      </c>
      <c r="AI84" s="51">
        <v>2473.8871534019681</v>
      </c>
      <c r="AJ84" s="51">
        <v>0</v>
      </c>
      <c r="AK84">
        <f>AG84</f>
        <v>2004</v>
      </c>
      <c r="AL84" s="8">
        <f>SUM(AI81:AI84)</f>
        <v>15587.23692364222</v>
      </c>
      <c r="AM84" s="8">
        <f>SUM(AJ73:AJ84)</f>
        <v>14537.273382782934</v>
      </c>
      <c r="CB84" s="15"/>
      <c r="CC84" s="15"/>
      <c r="CD84" s="15"/>
      <c r="CE84" s="8"/>
      <c r="CF84" s="10"/>
      <c r="CG84" s="8"/>
      <c r="CH84" s="8"/>
      <c r="CK84" s="15"/>
      <c r="CL84" s="15"/>
      <c r="CM84" s="15"/>
      <c r="CN84" s="15"/>
      <c r="CO84" s="8">
        <v>116.9222278594971</v>
      </c>
      <c r="CP84" s="8">
        <v>93.5892416532037</v>
      </c>
      <c r="CQ84" s="56">
        <v>38292</v>
      </c>
      <c r="CR84" s="8">
        <v>0</v>
      </c>
      <c r="CS84" s="8">
        <v>5.8551825284957895</v>
      </c>
      <c r="CT84" s="8">
        <v>0</v>
      </c>
      <c r="CU84" s="8">
        <v>30.978999999999999</v>
      </c>
      <c r="CV84" s="56">
        <f>CQ84</f>
        <v>38292</v>
      </c>
      <c r="CW84" s="8">
        <f>SUM(CR80:CR88)+SUM(CO80:CO88)</f>
        <v>2300.3366734212268</v>
      </c>
      <c r="CX84" s="8">
        <f>SUM(CS72:CS83)+SUM(CP72:CP83)</f>
        <v>32591.541990855745</v>
      </c>
      <c r="CY84" s="8">
        <f t="shared" ref="CY84" si="131">SUM(CT72:CT83)</f>
        <v>0</v>
      </c>
      <c r="CZ84" s="8">
        <f>SUM(CU72:CU83)</f>
        <v>10558.78816</v>
      </c>
    </row>
    <row r="85" spans="1:114" x14ac:dyDescent="0.25">
      <c r="A85" t="str">
        <v>2005-06</v>
      </c>
      <c r="B85" s="8">
        <v>33000</v>
      </c>
      <c r="C85" s="8">
        <v>45696</v>
      </c>
      <c r="D85" s="11">
        <v>393.76361972000007</v>
      </c>
      <c r="E85" s="11">
        <f t="shared" si="130"/>
        <v>-4.3981285687999048</v>
      </c>
      <c r="F85" s="8">
        <f t="shared" si="129"/>
        <v>3648.8355025924411</v>
      </c>
      <c r="H85">
        <v>20.767879584257319</v>
      </c>
      <c r="I85">
        <v>0.2428483445924868</v>
      </c>
      <c r="AG85">
        <v>2004</v>
      </c>
      <c r="AH85">
        <v>11</v>
      </c>
      <c r="AI85" s="51">
        <v>4897.4523443588978</v>
      </c>
      <c r="AJ85" s="51">
        <v>0</v>
      </c>
      <c r="CB85" s="15"/>
      <c r="CC85" s="15"/>
      <c r="CD85" s="15"/>
      <c r="CE85" s="8"/>
      <c r="CF85" s="8"/>
      <c r="CG85" s="8"/>
      <c r="CK85" s="15"/>
      <c r="CL85" s="15"/>
      <c r="CM85" s="15"/>
      <c r="CN85" s="15"/>
      <c r="CO85" s="8">
        <v>23.039883005619075</v>
      </c>
      <c r="CP85" s="8">
        <v>2844.6878326225087</v>
      </c>
      <c r="CQ85" s="56">
        <v>38322</v>
      </c>
      <c r="CR85" s="8">
        <v>28.457229316234596</v>
      </c>
      <c r="CS85" s="8">
        <v>8250.478398680687</v>
      </c>
      <c r="CT85" s="8">
        <v>0</v>
      </c>
      <c r="CU85" s="8">
        <v>2485.4</v>
      </c>
      <c r="CW85" s="8"/>
      <c r="CX85" s="8">
        <f>SUM(CS72:CS76)+SUM(CP72:CP76)</f>
        <v>31623.313205025286</v>
      </c>
      <c r="CY85" s="8">
        <f t="shared" ref="CY85" si="132">SUM(CT72:CT76)</f>
        <v>0</v>
      </c>
      <c r="CZ85" s="8">
        <f t="shared" ref="CZ85" si="133">SUM(CU72:CU76)</f>
        <v>8328.1530000000002</v>
      </c>
      <c r="DA85" s="8">
        <f>SUM(CX85:CZ85)</f>
        <v>39951.466205025288</v>
      </c>
    </row>
    <row r="86" spans="1:114" x14ac:dyDescent="0.25">
      <c r="A86" t="str">
        <v>2006-07</v>
      </c>
      <c r="B86" s="8">
        <v>33000</v>
      </c>
      <c r="C86" s="8">
        <v>21990</v>
      </c>
      <c r="D86" s="11">
        <v>266.09833811999999</v>
      </c>
      <c r="E86" s="11">
        <f t="shared" si="130"/>
        <v>-132.06341016879998</v>
      </c>
      <c r="F86" s="8">
        <f t="shared" si="129"/>
        <v>3197.4779528907684</v>
      </c>
      <c r="H86">
        <v>0.88246940828709719</v>
      </c>
      <c r="I86">
        <v>13044.520990861542</v>
      </c>
      <c r="AG86">
        <v>2004</v>
      </c>
      <c r="AH86">
        <v>12</v>
      </c>
      <c r="AI86" s="51">
        <v>57739.157219899811</v>
      </c>
      <c r="AJ86" s="51">
        <v>11793.384253680701</v>
      </c>
      <c r="CB86" s="15"/>
      <c r="CC86" s="15"/>
      <c r="CD86" s="15"/>
      <c r="CE86" s="8"/>
      <c r="CF86" s="8"/>
      <c r="CG86" s="8"/>
      <c r="CK86" s="15"/>
      <c r="CL86" s="15"/>
      <c r="CM86" s="15"/>
      <c r="CN86" s="15"/>
      <c r="CO86" s="8">
        <v>16.375282043218618</v>
      </c>
      <c r="CP86" s="8">
        <v>49.031157097237895</v>
      </c>
      <c r="CQ86" s="56">
        <v>38353</v>
      </c>
      <c r="CR86" s="8">
        <v>347.34910476207739</v>
      </c>
      <c r="CS86" s="8">
        <v>7772.2353927195072</v>
      </c>
      <c r="CT86" s="8">
        <v>0</v>
      </c>
      <c r="CU86" s="8">
        <v>3521.7</v>
      </c>
    </row>
    <row r="87" spans="1:114" x14ac:dyDescent="0.25">
      <c r="A87" t="str">
        <v>2007-08</v>
      </c>
      <c r="B87" s="8">
        <v>33000</v>
      </c>
      <c r="C87" s="8">
        <v>6752.869999999999</v>
      </c>
      <c r="D87" s="11">
        <v>431.89750700499997</v>
      </c>
      <c r="E87" s="11">
        <f t="shared" si="130"/>
        <v>33.735758716199996</v>
      </c>
      <c r="F87" s="8">
        <f>B87/(9-(E87/100))</f>
        <v>3809.4611813935821</v>
      </c>
      <c r="H87">
        <v>33.787903893076219</v>
      </c>
      <c r="I87">
        <v>9</v>
      </c>
      <c r="AG87">
        <v>2005</v>
      </c>
      <c r="AH87">
        <v>1</v>
      </c>
      <c r="AI87" s="51">
        <v>8119.3288110387575</v>
      </c>
      <c r="AJ87" s="51">
        <v>0</v>
      </c>
      <c r="CB87" s="15"/>
      <c r="CC87" s="15"/>
      <c r="CD87" s="15"/>
      <c r="CE87" s="8"/>
      <c r="CF87" s="8"/>
      <c r="CG87" s="8"/>
      <c r="CK87" s="15"/>
      <c r="CL87" s="15"/>
      <c r="CM87" s="15"/>
      <c r="CN87" s="15"/>
      <c r="CO87" s="8">
        <v>26.184726497530932</v>
      </c>
      <c r="CP87" s="8">
        <v>0</v>
      </c>
      <c r="CQ87" s="56">
        <v>38384</v>
      </c>
      <c r="CR87" s="8">
        <v>939.80197858810425</v>
      </c>
      <c r="CS87" s="8">
        <v>44.150357097387285</v>
      </c>
      <c r="CT87" s="8">
        <v>0</v>
      </c>
      <c r="CU87" s="8">
        <v>258.52999999999997</v>
      </c>
    </row>
    <row r="88" spans="1:114" x14ac:dyDescent="0.25">
      <c r="A88" t="str">
        <v>2008-09</v>
      </c>
      <c r="B88" s="8">
        <v>34850</v>
      </c>
      <c r="C88" s="8">
        <v>22024</v>
      </c>
      <c r="D88" s="11">
        <v>412.40987976700001</v>
      </c>
      <c r="E88" s="11">
        <f t="shared" si="130"/>
        <v>14.248131478200037</v>
      </c>
      <c r="F88" s="8">
        <f t="shared" ref="F88:F93" si="134">B88/(9-(E88/100))</f>
        <v>3934.5104694117026</v>
      </c>
      <c r="H88">
        <v>11498667549.070753</v>
      </c>
      <c r="I88">
        <v>1531435750.9292464</v>
      </c>
      <c r="AG88">
        <v>2005</v>
      </c>
      <c r="AH88">
        <v>2</v>
      </c>
      <c r="AI88" s="51">
        <v>675.35260754823719</v>
      </c>
      <c r="AJ88" s="51">
        <v>0</v>
      </c>
      <c r="CB88" s="15"/>
      <c r="CC88" s="15"/>
      <c r="CD88" s="15"/>
      <c r="CE88" s="8"/>
      <c r="CF88" s="8"/>
      <c r="CG88" s="8"/>
      <c r="CK88" s="15"/>
      <c r="CL88" s="15"/>
      <c r="CM88" s="15"/>
      <c r="CN88" s="15"/>
      <c r="CO88" s="8">
        <v>300.56791784893727</v>
      </c>
      <c r="CP88" s="8">
        <v>0</v>
      </c>
      <c r="CQ88" s="56">
        <v>38412</v>
      </c>
      <c r="CR88" s="8">
        <v>304.65560120344151</v>
      </c>
      <c r="CS88" s="8">
        <v>1.2172622550278889</v>
      </c>
      <c r="CT88" s="8">
        <v>0</v>
      </c>
      <c r="CU88" s="8">
        <v>0</v>
      </c>
    </row>
    <row r="89" spans="1:114" x14ac:dyDescent="0.25">
      <c r="A89" t="str">
        <v>2009-10</v>
      </c>
      <c r="B89" s="8">
        <v>41350</v>
      </c>
      <c r="C89" s="8">
        <v>19512.88</v>
      </c>
      <c r="D89" s="11">
        <v>314.67894759000001</v>
      </c>
      <c r="E89" s="11">
        <f t="shared" si="130"/>
        <v>-83.482800698799963</v>
      </c>
      <c r="F89" s="8">
        <f t="shared" si="134"/>
        <v>4204.4456670334584</v>
      </c>
      <c r="AG89">
        <v>2005</v>
      </c>
      <c r="AH89">
        <v>3</v>
      </c>
      <c r="AI89" s="51">
        <v>5503.9751085489979</v>
      </c>
      <c r="AJ89" s="51">
        <v>0</v>
      </c>
      <c r="AO89">
        <f>AG84</f>
        <v>2004</v>
      </c>
      <c r="AP89" s="8">
        <f>SUM(AI85:AI89)</f>
        <v>76935.266091394704</v>
      </c>
      <c r="AQ89" s="8">
        <f>SUM(AJ85:AJ89)</f>
        <v>11793.384253680701</v>
      </c>
      <c r="CB89" s="15"/>
      <c r="CC89" s="15"/>
      <c r="CD89" s="15"/>
      <c r="CE89" s="8"/>
      <c r="CF89" s="8"/>
      <c r="CG89" s="8"/>
      <c r="CK89" s="15"/>
      <c r="CL89" s="15"/>
      <c r="CM89" s="15"/>
      <c r="CN89" s="15"/>
      <c r="CO89" s="8">
        <v>24.750359042594194</v>
      </c>
      <c r="CP89" s="8">
        <v>0</v>
      </c>
      <c r="CQ89" s="56">
        <v>38443</v>
      </c>
      <c r="CR89" s="8">
        <v>4.0840267539024335</v>
      </c>
      <c r="CS89" s="8">
        <v>0</v>
      </c>
      <c r="CT89" s="8">
        <v>0</v>
      </c>
      <c r="CU89" s="8">
        <v>0</v>
      </c>
    </row>
    <row r="90" spans="1:114" x14ac:dyDescent="0.25">
      <c r="A90" t="str">
        <v>2010-11</v>
      </c>
      <c r="B90" s="8">
        <v>32930</v>
      </c>
      <c r="C90" s="8">
        <v>40425.879999999997</v>
      </c>
      <c r="D90" s="11">
        <v>384.93933499999997</v>
      </c>
      <c r="E90" s="11">
        <f t="shared" si="130"/>
        <v>-13.222413288799999</v>
      </c>
      <c r="F90" s="8">
        <f t="shared" si="134"/>
        <v>3605.9123736800057</v>
      </c>
      <c r="H90" t="s">
        <v>361</v>
      </c>
      <c r="AG90">
        <v>2005</v>
      </c>
      <c r="AH90">
        <v>4</v>
      </c>
      <c r="AI90" s="51">
        <v>780.48079172987423</v>
      </c>
      <c r="AJ90" s="51">
        <v>0</v>
      </c>
      <c r="CB90" s="15"/>
      <c r="CC90" s="15"/>
      <c r="CD90" s="15"/>
      <c r="CE90" s="8"/>
      <c r="CF90" s="8"/>
      <c r="CG90" s="8"/>
      <c r="CK90" s="15"/>
      <c r="CL90" s="15"/>
      <c r="CM90" s="15"/>
      <c r="CN90" s="15"/>
      <c r="CO90" s="8">
        <v>79.52182813286781</v>
      </c>
      <c r="CP90" s="8">
        <v>0</v>
      </c>
      <c r="CQ90" s="56">
        <v>38473</v>
      </c>
      <c r="CR90" s="8">
        <v>0</v>
      </c>
      <c r="CS90" s="8">
        <v>0</v>
      </c>
      <c r="CT90" s="8">
        <v>0</v>
      </c>
      <c r="CU90" s="8">
        <v>3.585</v>
      </c>
    </row>
    <row r="91" spans="1:114" x14ac:dyDescent="0.25">
      <c r="A91" t="str">
        <v>2011-12</v>
      </c>
      <c r="B91" s="8">
        <v>23490</v>
      </c>
      <c r="C91" s="8">
        <v>43791.020000000004</v>
      </c>
      <c r="D91" s="11">
        <v>660.8378580000001</v>
      </c>
      <c r="E91" s="11">
        <f t="shared" si="130"/>
        <v>262.67610971120013</v>
      </c>
      <c r="F91" s="8">
        <f t="shared" si="134"/>
        <v>3685.7240655698051</v>
      </c>
      <c r="AG91">
        <v>2005</v>
      </c>
      <c r="AH91">
        <v>5</v>
      </c>
      <c r="AI91" s="51">
        <v>1721.6285043954849</v>
      </c>
      <c r="AJ91" s="51">
        <v>0</v>
      </c>
      <c r="CB91" s="15"/>
      <c r="CC91" s="15"/>
      <c r="CD91" s="15"/>
      <c r="CE91" s="8"/>
      <c r="CF91" s="8"/>
      <c r="CG91" s="8"/>
      <c r="CK91" s="15"/>
      <c r="CL91" s="15"/>
      <c r="CM91" s="15"/>
      <c r="CN91" s="15"/>
      <c r="CO91" s="8">
        <v>31.520092966500666</v>
      </c>
      <c r="CP91" s="8">
        <v>110.99338455405092</v>
      </c>
      <c r="CQ91" s="56">
        <v>38504</v>
      </c>
      <c r="CR91" s="8">
        <v>28.727389827370644</v>
      </c>
      <c r="CS91" s="8">
        <v>6.6848373413085902</v>
      </c>
      <c r="CT91" s="8">
        <v>0</v>
      </c>
      <c r="CU91" s="8">
        <v>8.9625000000000004</v>
      </c>
    </row>
    <row r="92" spans="1:114" x14ac:dyDescent="0.25">
      <c r="A92" t="str">
        <v xml:space="preserve">2012-13 </v>
      </c>
      <c r="B92" s="8">
        <v>29330</v>
      </c>
      <c r="C92" s="8">
        <v>49144.070000000007</v>
      </c>
      <c r="D92" s="11">
        <v>390.62382281999999</v>
      </c>
      <c r="E92" s="11">
        <f t="shared" si="130"/>
        <v>-7.5379254687999833</v>
      </c>
      <c r="F92" s="8">
        <f t="shared" si="134"/>
        <v>3231.8208613540005</v>
      </c>
      <c r="AG92">
        <v>2005</v>
      </c>
      <c r="AH92">
        <v>6</v>
      </c>
      <c r="AI92" s="51">
        <v>2509.648480804985</v>
      </c>
      <c r="AJ92" s="51">
        <v>1227.0206909179699</v>
      </c>
      <c r="CB92" s="15"/>
      <c r="CC92" s="15"/>
      <c r="CD92" s="15"/>
      <c r="CE92" s="8"/>
      <c r="CF92" s="8"/>
      <c r="CG92" s="8"/>
      <c r="CK92" s="15"/>
      <c r="CL92" s="15"/>
      <c r="CM92" s="15"/>
      <c r="CN92" s="15"/>
      <c r="CO92" s="8">
        <v>0.55703189969062694</v>
      </c>
      <c r="CP92" s="8">
        <v>1447.7017179228133</v>
      </c>
      <c r="CQ92" s="56">
        <v>38534</v>
      </c>
      <c r="CR92" s="8">
        <v>0</v>
      </c>
      <c r="CS92" s="8">
        <v>8565.0698981721653</v>
      </c>
      <c r="CT92" s="8">
        <v>0</v>
      </c>
      <c r="CU92" s="8">
        <v>2899.2</v>
      </c>
    </row>
    <row r="93" spans="1:114" x14ac:dyDescent="0.25">
      <c r="A93" t="str">
        <v>2013-14</v>
      </c>
      <c r="B93" s="8">
        <v>46380</v>
      </c>
      <c r="C93" s="8">
        <v>51727.76</v>
      </c>
      <c r="D93" s="11">
        <v>274.47839317</v>
      </c>
      <c r="E93" s="11">
        <f t="shared" si="130"/>
        <v>-123.68335511879997</v>
      </c>
      <c r="F93" s="8">
        <f t="shared" si="134"/>
        <v>4530.6978733299356</v>
      </c>
      <c r="AG93">
        <v>2005</v>
      </c>
      <c r="AH93">
        <v>7</v>
      </c>
      <c r="AI93" s="51">
        <v>39733.156999250299</v>
      </c>
      <c r="AJ93" s="51">
        <v>6368.5960318595144</v>
      </c>
      <c r="CB93" s="15"/>
      <c r="CC93" s="15"/>
      <c r="CD93" s="15"/>
      <c r="CE93" s="8"/>
      <c r="CF93" s="8"/>
      <c r="CG93" s="8"/>
      <c r="CK93" s="15"/>
      <c r="CL93" s="15"/>
      <c r="CM93" s="15"/>
      <c r="CN93" s="15"/>
      <c r="CO93" s="8">
        <v>1.4399297773838031</v>
      </c>
      <c r="CP93" s="8">
        <v>10.620562230516221</v>
      </c>
      <c r="CQ93" s="56">
        <v>38565</v>
      </c>
      <c r="CR93" s="8">
        <v>0</v>
      </c>
      <c r="CS93" s="8">
        <v>21.706039428710891</v>
      </c>
      <c r="CT93" s="8">
        <v>0</v>
      </c>
      <c r="CU93" s="8">
        <v>33.738</v>
      </c>
    </row>
    <row r="94" spans="1:114" x14ac:dyDescent="0.25">
      <c r="A94" t="s">
        <v>367</v>
      </c>
      <c r="AG94">
        <v>2005</v>
      </c>
      <c r="AH94">
        <v>8</v>
      </c>
      <c r="AI94" s="51">
        <v>181.72692694142455</v>
      </c>
      <c r="AJ94" s="51">
        <v>0</v>
      </c>
      <c r="CB94" s="15"/>
      <c r="CC94" s="15"/>
      <c r="CD94" s="15"/>
      <c r="CE94" s="8"/>
      <c r="CF94" s="8"/>
      <c r="CG94" s="8"/>
      <c r="CK94" s="15"/>
      <c r="CL94" s="15"/>
      <c r="CM94" s="15"/>
      <c r="CN94" s="15"/>
      <c r="CO94" s="8">
        <v>31.322300028800953</v>
      </c>
      <c r="CP94" s="8">
        <v>8.9411723979050297</v>
      </c>
      <c r="CQ94" s="56">
        <v>38596</v>
      </c>
      <c r="CR94" s="8">
        <v>165.3525954484939</v>
      </c>
      <c r="CS94" s="8">
        <v>49.041770219802913</v>
      </c>
      <c r="CT94" s="8">
        <v>0</v>
      </c>
      <c r="CU94" s="8">
        <v>0</v>
      </c>
    </row>
    <row r="95" spans="1:114" x14ac:dyDescent="0.25">
      <c r="AG95">
        <v>2005</v>
      </c>
      <c r="AH95">
        <v>9</v>
      </c>
      <c r="AI95" s="51">
        <v>510.31551982089883</v>
      </c>
      <c r="AJ95" s="51">
        <v>0</v>
      </c>
      <c r="CB95" s="15"/>
      <c r="CC95" s="15"/>
      <c r="CD95" s="15"/>
      <c r="CE95" s="8"/>
      <c r="CF95" s="8"/>
      <c r="CG95" s="8"/>
      <c r="CK95" s="15"/>
      <c r="CL95" s="15"/>
      <c r="CM95" s="15"/>
      <c r="CN95" s="15"/>
      <c r="CO95" s="8">
        <v>3.3701437115669233</v>
      </c>
      <c r="CP95" s="8">
        <v>0</v>
      </c>
      <c r="CQ95" s="56">
        <v>38626</v>
      </c>
      <c r="CR95" s="8">
        <v>0</v>
      </c>
      <c r="CS95" s="8">
        <v>0</v>
      </c>
      <c r="CT95" s="8">
        <v>0</v>
      </c>
      <c r="CU95" s="8">
        <v>0</v>
      </c>
    </row>
    <row r="96" spans="1:114" x14ac:dyDescent="0.25">
      <c r="A96" s="38" t="s">
        <v>43</v>
      </c>
      <c r="B96" t="s">
        <v>365</v>
      </c>
      <c r="C96" t="s">
        <v>366</v>
      </c>
      <c r="D96" t="s">
        <v>368</v>
      </c>
      <c r="E96" t="s">
        <v>369</v>
      </c>
      <c r="F96" t="s">
        <v>370</v>
      </c>
      <c r="G96" t="s">
        <v>371</v>
      </c>
      <c r="H96" t="s">
        <v>271</v>
      </c>
      <c r="I96" t="s">
        <v>272</v>
      </c>
      <c r="J96" t="s">
        <v>372</v>
      </c>
      <c r="K96" t="s">
        <v>144</v>
      </c>
      <c r="M96" t="str">
        <f>A96</f>
        <v>Plant in</v>
      </c>
      <c r="N96" t="str">
        <f>G96</f>
        <v>GS/FPH Ha</v>
      </c>
      <c r="O96" t="s">
        <v>322</v>
      </c>
      <c r="P96" t="s">
        <v>323</v>
      </c>
      <c r="AI96">
        <v>2005</v>
      </c>
      <c r="AJ96">
        <v>10</v>
      </c>
      <c r="AK96" s="51">
        <v>979.62291479110706</v>
      </c>
      <c r="AL96" s="51">
        <v>0</v>
      </c>
      <c r="AM96">
        <f>AI96</f>
        <v>2005</v>
      </c>
      <c r="AN96" s="8">
        <f>SUM(AI93:AI96)</f>
        <v>42430.199446012623</v>
      </c>
      <c r="AO96" s="8">
        <f>SUM(AJ85:AJ96)</f>
        <v>19399.000976458185</v>
      </c>
      <c r="CD96" s="15"/>
      <c r="CE96" s="15"/>
      <c r="CF96" s="15"/>
      <c r="CG96" s="8"/>
      <c r="CH96" s="10"/>
      <c r="CI96" s="8"/>
      <c r="CJ96" s="8"/>
      <c r="CM96" s="15"/>
      <c r="CN96" s="15"/>
      <c r="CO96" s="8">
        <v>86.83594760857531</v>
      </c>
      <c r="CP96" s="8">
        <v>212.00660635530963</v>
      </c>
      <c r="CQ96" s="56">
        <v>38657</v>
      </c>
      <c r="CR96" s="8">
        <v>0</v>
      </c>
      <c r="CS96" s="8">
        <v>0</v>
      </c>
      <c r="CT96" s="8">
        <v>0</v>
      </c>
      <c r="CU96" s="8">
        <v>373.11</v>
      </c>
      <c r="CV96" s="56">
        <f>CQ96</f>
        <v>38657</v>
      </c>
      <c r="CW96" s="8">
        <f>SUM(CR92:CR100)+SUM(CO92:CO100)</f>
        <v>8722.3318337701494</v>
      </c>
      <c r="CX96" s="8">
        <f>SUM(CS84:CS95)+SUM(CP84:CP95)</f>
        <v>29282.004206921327</v>
      </c>
      <c r="CY96" s="8">
        <f t="shared" ref="CY96" si="135">SUM(CT84:CT95)</f>
        <v>0</v>
      </c>
      <c r="CZ96" s="8">
        <f>SUM(CU84:CU95)</f>
        <v>9242.0944999999974</v>
      </c>
    </row>
    <row r="97" spans="1:105" x14ac:dyDescent="0.25">
      <c r="A97" s="38">
        <v>1999</v>
      </c>
      <c r="B97" s="8">
        <v>57102.56274049457</v>
      </c>
      <c r="C97" s="8">
        <f>33000/(9-((Q4-$Q$20)/100))</f>
        <v>3575.8832795384478</v>
      </c>
      <c r="D97" s="8">
        <f>B97-C97</f>
        <v>53526.679460956118</v>
      </c>
      <c r="E97" s="8">
        <f>G137</f>
        <v>8939.6341514587402</v>
      </c>
      <c r="F97" s="8">
        <f>E97/(9-((P4-$P$20)/100))</f>
        <v>1104.7041755411522</v>
      </c>
      <c r="G97" s="8">
        <f>D97-F97</f>
        <v>52421.975285414963</v>
      </c>
      <c r="H97" s="8">
        <f>H137</f>
        <v>39159.906881298128</v>
      </c>
      <c r="I97" s="8">
        <f>I137</f>
        <v>47953.362810304214</v>
      </c>
      <c r="J97" s="11">
        <f>P4-$P$20</f>
        <v>90.766691265599988</v>
      </c>
      <c r="K97" s="8">
        <f>J137</f>
        <v>0</v>
      </c>
      <c r="M97">
        <f t="shared" ref="M97:M111" si="136">A97</f>
        <v>1999</v>
      </c>
      <c r="N97" s="8">
        <f t="shared" ref="N97:N111" si="137">G97</f>
        <v>52421.975285414963</v>
      </c>
      <c r="O97" s="8">
        <f t="shared" ref="O97:O111" si="138">($N$122*H97)+($M$122*I97)+($L$122*J97)</f>
        <v>45045.783740611696</v>
      </c>
      <c r="P97" s="8">
        <f>($O$114*H97)+($N$114*I97)+($M$114*J97)+($L$114*K97)</f>
        <v>49233.084006083918</v>
      </c>
      <c r="AI97">
        <v>2005</v>
      </c>
      <c r="AJ97">
        <v>11</v>
      </c>
      <c r="AK97" s="51">
        <v>5897.4815621897569</v>
      </c>
      <c r="AL97" s="51">
        <v>0</v>
      </c>
      <c r="CD97" s="15"/>
      <c r="CE97" s="15"/>
      <c r="CF97" s="15"/>
      <c r="CG97" s="8"/>
      <c r="CH97" s="8"/>
      <c r="CI97" s="8"/>
      <c r="CM97" s="15"/>
      <c r="CN97" s="15"/>
      <c r="CO97" s="8">
        <v>980.78264770805845</v>
      </c>
      <c r="CP97" s="8">
        <v>208.10698263839586</v>
      </c>
      <c r="CQ97" s="56">
        <v>38687</v>
      </c>
      <c r="CR97" s="8">
        <v>60.355405211448691</v>
      </c>
      <c r="CS97" s="8">
        <v>7993.4885038137436</v>
      </c>
      <c r="CT97" s="8">
        <v>0</v>
      </c>
      <c r="CU97" s="8">
        <v>2279.6</v>
      </c>
      <c r="CW97" s="8"/>
      <c r="CX97" s="8">
        <f>SUM(CS84:CS88)+SUM(CP84:CP88)</f>
        <v>19061.244824654055</v>
      </c>
      <c r="CY97" s="8">
        <f t="shared" ref="CY97" si="139">SUM(CT84:CT88)</f>
        <v>0</v>
      </c>
      <c r="CZ97" s="8">
        <f t="shared" ref="CZ97" si="140">SUM(CU84:CU88)</f>
        <v>6296.6089999999995</v>
      </c>
      <c r="DA97" s="8">
        <f>SUM(CX97:CZ97)</f>
        <v>25357.853824654056</v>
      </c>
    </row>
    <row r="98" spans="1:105" x14ac:dyDescent="0.25">
      <c r="A98" s="38">
        <v>2000</v>
      </c>
      <c r="B98" s="8">
        <v>64062.260465002088</v>
      </c>
      <c r="C98" s="8">
        <f t="shared" ref="C98:C100" si="141">33000/(9-((Q5-$Q$20)/100))</f>
        <v>4446.783208490031</v>
      </c>
      <c r="D98" s="8">
        <f t="shared" ref="D98:D111" si="142">B98-C98</f>
        <v>59615.477256512058</v>
      </c>
      <c r="E98" s="8">
        <f>G149</f>
        <v>7030.7320518493652</v>
      </c>
      <c r="F98" s="8">
        <f t="shared" ref="F98:F111" si="143">E98/(9-((P5-$P$20)/100))</f>
        <v>787.86095867301901</v>
      </c>
      <c r="G98" s="8">
        <f t="shared" ref="G98:G111" si="144">D98-F98</f>
        <v>58827.616297839042</v>
      </c>
      <c r="H98" s="8">
        <f>H149</f>
        <v>30020.951008850338</v>
      </c>
      <c r="I98" s="8">
        <f>I149</f>
        <v>72318.003086689961</v>
      </c>
      <c r="J98" s="11">
        <f t="shared" ref="J98:J111" si="145">P5-$P$20</f>
        <v>7.6176609015999901</v>
      </c>
      <c r="K98" s="8">
        <f>J149</f>
        <v>0</v>
      </c>
      <c r="M98">
        <f t="shared" si="136"/>
        <v>2000</v>
      </c>
      <c r="N98" s="8">
        <f t="shared" si="137"/>
        <v>58827.616297839042</v>
      </c>
      <c r="O98" s="8">
        <f t="shared" si="138"/>
        <v>54628.940578853726</v>
      </c>
      <c r="P98" s="8">
        <f t="shared" ref="P98:P111" si="146">($O$114*H98)+($N$114*I98)+($M$114*J98)+($L$114*K98)</f>
        <v>48457.373023680819</v>
      </c>
      <c r="AI98">
        <v>2005</v>
      </c>
      <c r="AJ98">
        <v>12</v>
      </c>
      <c r="AK98" s="51">
        <v>25013.003022808349</v>
      </c>
      <c r="AL98" s="51">
        <v>0</v>
      </c>
      <c r="CD98" s="15"/>
      <c r="CE98" s="15"/>
      <c r="CF98" s="15"/>
      <c r="CG98" s="8"/>
      <c r="CH98" s="8"/>
      <c r="CI98" s="8"/>
      <c r="CM98" s="15"/>
      <c r="CN98" s="15"/>
      <c r="CO98" s="8">
        <v>3128.4511246473535</v>
      </c>
      <c r="CP98" s="8">
        <v>107.94889647960679</v>
      </c>
      <c r="CQ98" s="56">
        <v>38718</v>
      </c>
      <c r="CR98" s="8">
        <v>596.24131988920271</v>
      </c>
      <c r="CS98" s="8">
        <v>1333.584012985229</v>
      </c>
      <c r="CT98" s="8">
        <v>0</v>
      </c>
      <c r="CU98" s="8">
        <v>1728.5</v>
      </c>
    </row>
    <row r="99" spans="1:105" x14ac:dyDescent="0.25">
      <c r="A99" s="38">
        <v>2001</v>
      </c>
      <c r="B99" s="8">
        <v>55624.709759260477</v>
      </c>
      <c r="C99" s="8">
        <f t="shared" si="141"/>
        <v>3476.9434391541172</v>
      </c>
      <c r="D99" s="8">
        <f t="shared" si="142"/>
        <v>52147.766320106362</v>
      </c>
      <c r="E99" s="8">
        <f>G161</f>
        <v>8529.5618782043457</v>
      </c>
      <c r="F99" s="8">
        <f t="shared" si="143"/>
        <v>917.56872247933438</v>
      </c>
      <c r="G99" s="8">
        <f t="shared" si="144"/>
        <v>51230.197597627026</v>
      </c>
      <c r="H99" s="8">
        <f>H161</f>
        <v>5916.2959381639957</v>
      </c>
      <c r="I99" s="8">
        <f>I161</f>
        <v>69908.585261408822</v>
      </c>
      <c r="J99" s="11">
        <f t="shared" si="145"/>
        <v>-29.582893274400007</v>
      </c>
      <c r="K99" s="8">
        <f>J161</f>
        <v>50041.246093750007</v>
      </c>
      <c r="M99">
        <f t="shared" si="136"/>
        <v>2001</v>
      </c>
      <c r="N99" s="8">
        <f t="shared" si="137"/>
        <v>51230.197597627026</v>
      </c>
      <c r="O99" s="8">
        <f t="shared" si="138"/>
        <v>41813.886102643526</v>
      </c>
      <c r="P99" s="8">
        <f t="shared" si="146"/>
        <v>49326.196198080281</v>
      </c>
      <c r="AI99">
        <v>2006</v>
      </c>
      <c r="AJ99">
        <v>1</v>
      </c>
      <c r="AK99" s="51">
        <v>80316.376506702043</v>
      </c>
      <c r="AL99" s="51">
        <v>0</v>
      </c>
      <c r="CD99" s="15"/>
      <c r="CE99" s="15"/>
      <c r="CF99" s="15"/>
      <c r="CG99" s="8"/>
      <c r="CH99" s="8"/>
      <c r="CI99" s="8"/>
      <c r="CM99" s="15"/>
      <c r="CN99" s="15"/>
      <c r="CO99" s="8">
        <v>1803.5667495369901</v>
      </c>
      <c r="CP99" s="8">
        <v>66.283239317766842</v>
      </c>
      <c r="CQ99" s="56">
        <v>38749</v>
      </c>
      <c r="CR99" s="8">
        <v>691.03778940357745</v>
      </c>
      <c r="CS99" s="8">
        <v>2090.9083788394928</v>
      </c>
      <c r="CT99" s="8">
        <v>0</v>
      </c>
      <c r="CU99" s="8">
        <v>1451.5</v>
      </c>
    </row>
    <row r="100" spans="1:105" x14ac:dyDescent="0.25">
      <c r="A100" s="38">
        <v>2002</v>
      </c>
      <c r="B100" s="8">
        <v>28891</v>
      </c>
      <c r="C100" s="8">
        <f t="shared" si="141"/>
        <v>3236.7703826965189</v>
      </c>
      <c r="D100" s="8">
        <f t="shared" si="142"/>
        <v>25654.229617303481</v>
      </c>
      <c r="E100" s="8">
        <f>G173</f>
        <v>9463.9901847839355</v>
      </c>
      <c r="F100" s="8">
        <f t="shared" si="143"/>
        <v>1005.887983015085</v>
      </c>
      <c r="G100" s="8">
        <f t="shared" si="144"/>
        <v>24648.341634288397</v>
      </c>
      <c r="H100" s="8">
        <f>H173</f>
        <v>28300.338299894342</v>
      </c>
      <c r="I100" s="8">
        <f>I173</f>
        <v>15221.613335466493</v>
      </c>
      <c r="J100" s="11">
        <f t="shared" si="145"/>
        <v>-40.859255164399997</v>
      </c>
      <c r="K100" s="8">
        <f>J173</f>
        <v>0</v>
      </c>
      <c r="M100">
        <f t="shared" si="136"/>
        <v>2002</v>
      </c>
      <c r="N100" s="8">
        <f t="shared" si="137"/>
        <v>24648.341634288397</v>
      </c>
      <c r="O100" s="8">
        <f t="shared" si="138"/>
        <v>22440.009689220264</v>
      </c>
      <c r="P100" s="8">
        <f t="shared" si="146"/>
        <v>21421.417643934587</v>
      </c>
      <c r="AI100">
        <v>2006</v>
      </c>
      <c r="AJ100">
        <v>2</v>
      </c>
      <c r="AK100" s="51">
        <v>44966.979219522786</v>
      </c>
      <c r="AL100" s="51">
        <v>0</v>
      </c>
      <c r="CD100" s="15"/>
      <c r="CE100" s="15"/>
      <c r="CF100" s="15"/>
      <c r="CG100" s="8"/>
      <c r="CH100" s="8"/>
      <c r="CI100" s="8"/>
      <c r="CM100" s="15"/>
      <c r="CN100" s="15"/>
      <c r="CO100" s="8">
        <v>880.17482801359131</v>
      </c>
      <c r="CP100" s="8">
        <v>0</v>
      </c>
      <c r="CQ100" s="56">
        <v>38777</v>
      </c>
      <c r="CR100" s="8">
        <v>292.84402088541532</v>
      </c>
      <c r="CS100" s="8">
        <v>203.55490351840868</v>
      </c>
      <c r="CT100" s="8">
        <v>0</v>
      </c>
      <c r="CU100" s="8">
        <v>42.253</v>
      </c>
    </row>
    <row r="101" spans="1:105" x14ac:dyDescent="0.25">
      <c r="A101" s="38">
        <v>2003</v>
      </c>
      <c r="B101" s="8">
        <v>17127</v>
      </c>
      <c r="C101" s="8">
        <f>F83</f>
        <v>3972.930059928336</v>
      </c>
      <c r="D101" s="8">
        <f t="shared" si="142"/>
        <v>13154.069940071664</v>
      </c>
      <c r="E101" s="8">
        <f>G185</f>
        <v>7764.6473159790039</v>
      </c>
      <c r="F101" s="8">
        <f t="shared" si="143"/>
        <v>856.02156289086838</v>
      </c>
      <c r="G101" s="8">
        <f t="shared" si="144"/>
        <v>12298.048377180796</v>
      </c>
      <c r="H101" s="8">
        <f>H185</f>
        <v>10256.311091443895</v>
      </c>
      <c r="I101" s="8">
        <f>I185</f>
        <v>47217.727039505844</v>
      </c>
      <c r="J101" s="11">
        <f t="shared" si="145"/>
        <v>-7.0621176594000019</v>
      </c>
      <c r="K101" s="8">
        <f>J185</f>
        <v>2826.115234375</v>
      </c>
      <c r="M101">
        <f t="shared" si="136"/>
        <v>2003</v>
      </c>
      <c r="N101" s="8">
        <f t="shared" si="137"/>
        <v>12298.048377180796</v>
      </c>
      <c r="O101" s="8">
        <f t="shared" si="138"/>
        <v>31203.126746863672</v>
      </c>
      <c r="P101" s="8">
        <f t="shared" si="146"/>
        <v>26166.665269938632</v>
      </c>
      <c r="AI101">
        <v>2006</v>
      </c>
      <c r="AJ101">
        <v>3</v>
      </c>
      <c r="AK101" s="51">
        <v>18830.63205210492</v>
      </c>
      <c r="AL101" s="51">
        <v>0</v>
      </c>
      <c r="AQ101">
        <f>AI96</f>
        <v>2005</v>
      </c>
      <c r="AR101" s="8">
        <f>SUM(AK97:AK101)</f>
        <v>175024.47236332786</v>
      </c>
      <c r="AS101" s="8">
        <f>SUM(AL97:AL101)</f>
        <v>0</v>
      </c>
      <c r="CD101" s="15"/>
      <c r="CE101" s="15"/>
      <c r="CF101" s="15"/>
      <c r="CG101" s="8"/>
      <c r="CH101" s="8"/>
      <c r="CI101" s="8"/>
      <c r="CM101" s="15"/>
      <c r="CN101" s="15"/>
      <c r="CO101" s="8">
        <v>42.438541718176545</v>
      </c>
      <c r="CP101" s="8">
        <v>0</v>
      </c>
      <c r="CQ101" s="56">
        <v>38808</v>
      </c>
      <c r="CR101" s="8">
        <v>2.7721123695373588</v>
      </c>
      <c r="CS101" s="8">
        <v>0</v>
      </c>
      <c r="CT101" s="8">
        <v>0</v>
      </c>
      <c r="CU101" s="8">
        <v>0</v>
      </c>
    </row>
    <row r="102" spans="1:105" x14ac:dyDescent="0.25">
      <c r="A102" s="38">
        <v>2004</v>
      </c>
      <c r="B102" s="8">
        <v>37022.200000000012</v>
      </c>
      <c r="C102" s="8">
        <f t="shared" ref="C102:C111" si="147">F84</f>
        <v>3762.7677100883843</v>
      </c>
      <c r="D102" s="8">
        <f t="shared" si="142"/>
        <v>33259.432289911631</v>
      </c>
      <c r="E102" s="8">
        <f>G197</f>
        <v>7931.7212867736807</v>
      </c>
      <c r="F102" s="8">
        <f t="shared" si="143"/>
        <v>905.96466854642472</v>
      </c>
      <c r="G102" s="8">
        <f t="shared" si="144"/>
        <v>32353.467621365206</v>
      </c>
      <c r="H102" s="8">
        <f>H197</f>
        <v>4378.3266451239597</v>
      </c>
      <c r="I102" s="8">
        <f>I197</f>
        <v>35873.52977719195</v>
      </c>
      <c r="J102" s="11">
        <f t="shared" si="145"/>
        <v>24.49993226559998</v>
      </c>
      <c r="K102" s="8">
        <f>J197</f>
        <v>29147.246875000001</v>
      </c>
      <c r="M102">
        <f t="shared" si="136"/>
        <v>2004</v>
      </c>
      <c r="N102" s="8">
        <f t="shared" si="137"/>
        <v>32353.467621365206</v>
      </c>
      <c r="O102" s="8">
        <f t="shared" si="138"/>
        <v>21862.947352149768</v>
      </c>
      <c r="P102" s="8">
        <f t="shared" si="146"/>
        <v>29822.557245684751</v>
      </c>
      <c r="AI102">
        <v>2006</v>
      </c>
      <c r="AJ102">
        <v>4</v>
      </c>
      <c r="AK102" s="51">
        <v>1139.3412363682869</v>
      </c>
      <c r="AL102" s="51">
        <v>0</v>
      </c>
      <c r="CD102" s="15"/>
      <c r="CE102" s="15"/>
      <c r="CF102" s="15"/>
      <c r="CG102" s="8"/>
      <c r="CH102" s="8"/>
      <c r="CI102" s="8"/>
      <c r="CM102" s="15"/>
      <c r="CN102" s="15"/>
      <c r="CO102" s="8">
        <v>57.172362324595454</v>
      </c>
      <c r="CP102" s="8">
        <v>0</v>
      </c>
      <c r="CQ102" s="56">
        <v>38838</v>
      </c>
      <c r="CR102" s="8">
        <v>0</v>
      </c>
      <c r="CS102" s="8">
        <v>0</v>
      </c>
      <c r="CT102" s="8">
        <v>0</v>
      </c>
      <c r="CU102" s="8">
        <v>0</v>
      </c>
    </row>
    <row r="103" spans="1:105" x14ac:dyDescent="0.25">
      <c r="A103" s="38">
        <v>2005</v>
      </c>
      <c r="B103" s="8">
        <v>45696</v>
      </c>
      <c r="C103" s="8">
        <f t="shared" si="147"/>
        <v>3648.8355025924411</v>
      </c>
      <c r="D103" s="8">
        <f t="shared" si="142"/>
        <v>42047.164497407561</v>
      </c>
      <c r="E103" s="8">
        <f>G209</f>
        <v>8401.2341194152832</v>
      </c>
      <c r="F103" s="8">
        <f t="shared" si="143"/>
        <v>944.89521391855396</v>
      </c>
      <c r="G103" s="8">
        <f t="shared" si="144"/>
        <v>41102.269283489004</v>
      </c>
      <c r="H103" s="8">
        <f>H209</f>
        <v>1976.405648416282</v>
      </c>
      <c r="I103" s="8">
        <f>I209</f>
        <v>74943.718930885458</v>
      </c>
      <c r="J103" s="11">
        <f t="shared" si="145"/>
        <v>10.881926835599998</v>
      </c>
      <c r="K103" s="8">
        <f>J209</f>
        <v>24875.904296875004</v>
      </c>
      <c r="M103">
        <f t="shared" si="136"/>
        <v>2005</v>
      </c>
      <c r="N103" s="8">
        <f t="shared" si="137"/>
        <v>41102.269283489004</v>
      </c>
      <c r="O103" s="8">
        <f t="shared" si="138"/>
        <v>42440.536353113515</v>
      </c>
      <c r="P103" s="8">
        <f t="shared" si="146"/>
        <v>41687.173689224015</v>
      </c>
      <c r="AI103">
        <v>2006</v>
      </c>
      <c r="AJ103">
        <v>5</v>
      </c>
      <c r="AK103" s="51">
        <v>1352.8333960175512</v>
      </c>
      <c r="AL103" s="51">
        <v>0</v>
      </c>
      <c r="CD103" s="15"/>
      <c r="CE103" s="15"/>
      <c r="CF103" s="15"/>
      <c r="CG103" s="8"/>
      <c r="CH103" s="8"/>
      <c r="CI103" s="8"/>
      <c r="CM103" s="15"/>
      <c r="CN103" s="15"/>
      <c r="CO103" s="8">
        <v>60.316443024575712</v>
      </c>
      <c r="CP103" s="8">
        <v>0</v>
      </c>
      <c r="CQ103" s="56">
        <v>38869</v>
      </c>
      <c r="CR103" s="8">
        <v>0</v>
      </c>
      <c r="CS103" s="8">
        <v>0</v>
      </c>
      <c r="CT103" s="8">
        <v>0</v>
      </c>
      <c r="CU103" s="8">
        <v>0</v>
      </c>
    </row>
    <row r="104" spans="1:105" x14ac:dyDescent="0.25">
      <c r="A104" s="38">
        <v>2006</v>
      </c>
      <c r="B104" s="8">
        <v>21990</v>
      </c>
      <c r="C104" s="8">
        <f t="shared" si="147"/>
        <v>3197.4779528907684</v>
      </c>
      <c r="D104" s="8">
        <f t="shared" si="142"/>
        <v>18792.522047109233</v>
      </c>
      <c r="E104" s="8">
        <f>G221</f>
        <v>10447.210258483887</v>
      </c>
      <c r="F104" s="8">
        <f t="shared" si="143"/>
        <v>1097.559471205474</v>
      </c>
      <c r="G104" s="8">
        <f t="shared" si="144"/>
        <v>17694.962575903759</v>
      </c>
      <c r="H104" s="8">
        <f>H221</f>
        <v>13602.765342816712</v>
      </c>
      <c r="I104" s="8">
        <f>I221</f>
        <v>6313.920187063145</v>
      </c>
      <c r="J104" s="11">
        <f t="shared" si="145"/>
        <v>-51.858239354399998</v>
      </c>
      <c r="K104" s="8">
        <f>J221</f>
        <v>0</v>
      </c>
      <c r="M104">
        <f t="shared" si="136"/>
        <v>2006</v>
      </c>
      <c r="N104" s="8">
        <f t="shared" si="137"/>
        <v>17694.962575903759</v>
      </c>
      <c r="O104" s="8">
        <f t="shared" si="138"/>
        <v>10429.8920091867</v>
      </c>
      <c r="P104" s="8">
        <f t="shared" si="146"/>
        <v>7984.5833884371677</v>
      </c>
      <c r="AI104">
        <v>2006</v>
      </c>
      <c r="AJ104">
        <v>6</v>
      </c>
      <c r="AK104" s="51">
        <v>1166.0097875297067</v>
      </c>
      <c r="AL104" s="51">
        <v>0</v>
      </c>
      <c r="CD104" s="15"/>
      <c r="CE104" s="15"/>
      <c r="CF104" s="15"/>
      <c r="CG104" s="8"/>
      <c r="CH104" s="8"/>
      <c r="CI104" s="8"/>
      <c r="CM104" s="15"/>
      <c r="CN104" s="15"/>
      <c r="CO104" s="8">
        <v>72.708291988819838</v>
      </c>
      <c r="CP104" s="8">
        <v>8.4794555275700976</v>
      </c>
      <c r="CQ104" s="56">
        <v>38899</v>
      </c>
      <c r="CR104" s="8">
        <v>0</v>
      </c>
      <c r="CS104" s="8">
        <v>44.062400832772205</v>
      </c>
      <c r="CT104" s="8">
        <v>0</v>
      </c>
      <c r="CU104" s="8">
        <v>0</v>
      </c>
    </row>
    <row r="105" spans="1:105" x14ac:dyDescent="0.25">
      <c r="A105" s="38">
        <v>2007</v>
      </c>
      <c r="B105" s="8">
        <v>6752.869999999999</v>
      </c>
      <c r="C105" s="8">
        <f t="shared" si="147"/>
        <v>3809.4611813935821</v>
      </c>
      <c r="D105" s="8">
        <f t="shared" si="142"/>
        <v>2943.4088186064168</v>
      </c>
      <c r="E105" s="8">
        <f>G233</f>
        <v>9073.5755081176776</v>
      </c>
      <c r="F105" s="8">
        <f t="shared" si="143"/>
        <v>990.82662124834542</v>
      </c>
      <c r="G105" s="8">
        <f t="shared" si="144"/>
        <v>1952.5821973580714</v>
      </c>
      <c r="H105" s="8">
        <f>H233</f>
        <v>5888.466189877131</v>
      </c>
      <c r="I105" s="8">
        <f>I233</f>
        <v>5047.5288695052341</v>
      </c>
      <c r="J105" s="11">
        <f t="shared" si="145"/>
        <v>-15.758147140399998</v>
      </c>
      <c r="K105" s="8">
        <f>J233</f>
        <v>0</v>
      </c>
      <c r="M105">
        <f t="shared" si="136"/>
        <v>2007</v>
      </c>
      <c r="N105" s="8">
        <f t="shared" si="137"/>
        <v>1952.5821973580714</v>
      </c>
      <c r="O105" s="8">
        <f t="shared" si="138"/>
        <v>5756.5273275475547</v>
      </c>
      <c r="P105" s="8">
        <f t="shared" si="146"/>
        <v>4788.319912377975</v>
      </c>
      <c r="AI105">
        <v>2006</v>
      </c>
      <c r="AJ105">
        <v>7</v>
      </c>
      <c r="AK105" s="51">
        <v>1664.8403644124046</v>
      </c>
      <c r="AL105" s="51">
        <v>0</v>
      </c>
      <c r="CD105" s="15"/>
      <c r="CE105" s="15"/>
      <c r="CF105" s="15"/>
      <c r="CG105" s="8"/>
      <c r="CH105" s="8"/>
      <c r="CI105" s="8"/>
      <c r="CM105" s="15"/>
      <c r="CN105" s="15"/>
      <c r="CO105" s="8">
        <v>54.324027021229256</v>
      </c>
      <c r="CP105" s="8">
        <v>3.0360811233520502</v>
      </c>
      <c r="CQ105" s="56">
        <v>38930</v>
      </c>
      <c r="CR105" s="8">
        <v>0</v>
      </c>
      <c r="CS105" s="8">
        <v>0</v>
      </c>
      <c r="CT105" s="8">
        <v>0</v>
      </c>
      <c r="CU105" s="8">
        <v>0</v>
      </c>
    </row>
    <row r="106" spans="1:105" x14ac:dyDescent="0.25">
      <c r="A106" s="38">
        <v>2008</v>
      </c>
      <c r="B106" s="8">
        <v>22024</v>
      </c>
      <c r="C106" s="8">
        <f t="shared" si="147"/>
        <v>3934.5104694117026</v>
      </c>
      <c r="D106" s="8">
        <f t="shared" si="142"/>
        <v>18089.489530588296</v>
      </c>
      <c r="E106" s="8">
        <f>G245</f>
        <v>8378.9159355163592</v>
      </c>
      <c r="F106" s="8">
        <f t="shared" si="143"/>
        <v>938.9444997200776</v>
      </c>
      <c r="G106" s="8">
        <f t="shared" si="144"/>
        <v>17150.545030868219</v>
      </c>
      <c r="H106" s="8">
        <f>H245</f>
        <v>9674.3081238985069</v>
      </c>
      <c r="I106" s="8">
        <f>I245</f>
        <v>28889.968985413776</v>
      </c>
      <c r="J106" s="11">
        <f t="shared" si="145"/>
        <v>7.6239396456000037</v>
      </c>
      <c r="K106" s="8">
        <f>J245</f>
        <v>0</v>
      </c>
      <c r="M106">
        <f t="shared" si="136"/>
        <v>2008</v>
      </c>
      <c r="N106" s="8">
        <f t="shared" si="137"/>
        <v>17150.545030868219</v>
      </c>
      <c r="O106" s="8">
        <f t="shared" si="138"/>
        <v>20668.693007298269</v>
      </c>
      <c r="P106" s="8">
        <f t="shared" si="146"/>
        <v>18180.321143566827</v>
      </c>
      <c r="AI106">
        <v>2006</v>
      </c>
      <c r="AJ106">
        <v>8</v>
      </c>
      <c r="AK106" s="51">
        <v>1112.6681375801568</v>
      </c>
      <c r="AL106" s="51">
        <v>0</v>
      </c>
      <c r="CD106" s="15"/>
      <c r="CE106" s="15"/>
      <c r="CF106" s="15"/>
      <c r="CG106" s="8"/>
      <c r="CH106" s="8"/>
      <c r="CI106" s="8"/>
      <c r="CM106" s="15"/>
      <c r="CN106" s="15"/>
      <c r="CO106" s="8">
        <v>620.09957192149022</v>
      </c>
      <c r="CP106" s="8">
        <v>0.76535660475492662</v>
      </c>
      <c r="CQ106" s="56">
        <v>38961</v>
      </c>
      <c r="CR106" s="8">
        <v>162.81110386829818</v>
      </c>
      <c r="CS106" s="8">
        <v>130.14746475219732</v>
      </c>
      <c r="CT106" s="8">
        <v>0</v>
      </c>
      <c r="CU106" s="8">
        <v>0</v>
      </c>
    </row>
    <row r="107" spans="1:105" x14ac:dyDescent="0.25">
      <c r="A107" s="38">
        <v>2009</v>
      </c>
      <c r="B107" s="8">
        <v>19512.88</v>
      </c>
      <c r="C107" s="8">
        <f t="shared" si="147"/>
        <v>4204.4456670334584</v>
      </c>
      <c r="D107" s="8">
        <f t="shared" si="142"/>
        <v>15308.434332966543</v>
      </c>
      <c r="E107" s="8">
        <f>G257</f>
        <v>10387.716293334961</v>
      </c>
      <c r="F107" s="8">
        <f t="shared" si="143"/>
        <v>1109.4975677293651</v>
      </c>
      <c r="G107" s="8">
        <f t="shared" si="144"/>
        <v>14198.936765237177</v>
      </c>
      <c r="H107" s="8">
        <f>H257</f>
        <v>3479.386893323438</v>
      </c>
      <c r="I107" s="8">
        <f>I257</f>
        <v>10269.361574818287</v>
      </c>
      <c r="J107" s="11">
        <f t="shared" si="145"/>
        <v>-36.254084323399994</v>
      </c>
      <c r="K107" s="8">
        <f>J257</f>
        <v>0</v>
      </c>
      <c r="M107">
        <f t="shared" si="136"/>
        <v>2009</v>
      </c>
      <c r="N107" s="8">
        <f t="shared" si="137"/>
        <v>14198.936765237177</v>
      </c>
      <c r="O107" s="8">
        <f t="shared" si="138"/>
        <v>7608.1631686556984</v>
      </c>
      <c r="P107" s="8">
        <f t="shared" si="146"/>
        <v>4182.3399084106513</v>
      </c>
      <c r="AI107">
        <v>2006</v>
      </c>
      <c r="AJ107">
        <v>9</v>
      </c>
      <c r="AK107" s="51">
        <v>14964.365148198787</v>
      </c>
      <c r="AL107" s="51">
        <v>0</v>
      </c>
      <c r="CD107" s="15"/>
      <c r="CE107" s="15"/>
      <c r="CF107" s="15"/>
      <c r="CG107" s="8"/>
      <c r="CH107" s="8"/>
      <c r="CI107" s="8"/>
      <c r="CM107" s="15"/>
      <c r="CN107" s="15"/>
      <c r="CO107" s="8">
        <v>15.513966904208065</v>
      </c>
      <c r="CP107" s="8">
        <v>0</v>
      </c>
      <c r="CQ107" s="56">
        <v>38991</v>
      </c>
      <c r="CR107" s="8">
        <v>0.21685422956943501</v>
      </c>
      <c r="CS107" s="8">
        <v>0</v>
      </c>
      <c r="CT107" s="8">
        <v>0</v>
      </c>
      <c r="CU107" s="8">
        <v>0</v>
      </c>
    </row>
    <row r="108" spans="1:105" x14ac:dyDescent="0.25">
      <c r="A108" s="38">
        <v>2010</v>
      </c>
      <c r="B108" s="8">
        <v>40425.879999999997</v>
      </c>
      <c r="C108" s="8">
        <f t="shared" si="147"/>
        <v>3605.9123736800057</v>
      </c>
      <c r="D108" s="8">
        <f t="shared" si="142"/>
        <v>36819.967626319994</v>
      </c>
      <c r="E108" s="8">
        <f>G269</f>
        <v>10053.214221954348</v>
      </c>
      <c r="F108" s="8">
        <f t="shared" si="143"/>
        <v>1255.638493905974</v>
      </c>
      <c r="G108" s="8">
        <f t="shared" si="144"/>
        <v>35564.329132414023</v>
      </c>
      <c r="H108" s="8">
        <f>H269</f>
        <v>383.41050405502324</v>
      </c>
      <c r="I108" s="8">
        <f>I269</f>
        <v>77537.191778643377</v>
      </c>
      <c r="J108" s="11">
        <f t="shared" si="145"/>
        <v>99.354410465599997</v>
      </c>
      <c r="K108" s="8">
        <f>J269</f>
        <v>0</v>
      </c>
      <c r="M108">
        <f t="shared" si="136"/>
        <v>2010</v>
      </c>
      <c r="N108" s="8">
        <f t="shared" si="137"/>
        <v>35564.329132414023</v>
      </c>
      <c r="O108" s="8">
        <f t="shared" si="138"/>
        <v>42556.121237099505</v>
      </c>
      <c r="P108" s="8">
        <f t="shared" si="146"/>
        <v>37478.038561229325</v>
      </c>
      <c r="AI108">
        <v>2006</v>
      </c>
      <c r="AJ108">
        <v>10</v>
      </c>
      <c r="AK108" s="51">
        <v>426.46248342096817</v>
      </c>
      <c r="AL108" s="51">
        <v>0</v>
      </c>
      <c r="AM108">
        <f>AI108</f>
        <v>2006</v>
      </c>
      <c r="AN108" s="8">
        <f>SUM(AK105:AK108)</f>
        <v>18168.336133612316</v>
      </c>
      <c r="AO108" s="8">
        <f>SUM(AL97:AL108)</f>
        <v>0</v>
      </c>
      <c r="CD108" s="15"/>
      <c r="CE108" s="15"/>
      <c r="CF108" s="15"/>
      <c r="CG108" s="8"/>
      <c r="CH108" s="10"/>
      <c r="CI108" s="8"/>
      <c r="CJ108" s="8"/>
      <c r="CM108" s="15"/>
      <c r="CN108" s="15"/>
      <c r="CO108" s="8">
        <v>87.526976090297083</v>
      </c>
      <c r="CP108" s="8">
        <v>0</v>
      </c>
      <c r="CQ108" s="56">
        <v>39022</v>
      </c>
      <c r="CR108" s="8">
        <v>106.68588475883008</v>
      </c>
      <c r="CS108" s="8">
        <v>0</v>
      </c>
      <c r="CT108" s="8">
        <v>0</v>
      </c>
      <c r="CU108" s="8">
        <v>41.180999999999997</v>
      </c>
      <c r="CV108" s="56">
        <f>CQ108</f>
        <v>39022</v>
      </c>
      <c r="CW108" s="8">
        <f>SUM(CR104:CR112)+SUM(CO104:CO112)</f>
        <v>2613.238095979259</v>
      </c>
      <c r="CX108" s="8">
        <f>SUM(CS96:CS107)+SUM(CP96:CP107)</f>
        <v>12402.372282788599</v>
      </c>
      <c r="CY108" s="8">
        <f t="shared" ref="CY108" si="148">SUM(CT96:CT107)</f>
        <v>0</v>
      </c>
      <c r="CZ108" s="8">
        <f>SUM(CU96:CU107)</f>
        <v>5874.9629999999997</v>
      </c>
    </row>
    <row r="109" spans="1:105" x14ac:dyDescent="0.25">
      <c r="A109" s="38">
        <v>2011</v>
      </c>
      <c r="B109" s="8">
        <v>43791.020000000004</v>
      </c>
      <c r="C109" s="8">
        <f t="shared" si="147"/>
        <v>3685.7240655698051</v>
      </c>
      <c r="D109" s="8">
        <f t="shared" si="142"/>
        <v>40105.2959344302</v>
      </c>
      <c r="E109" s="8">
        <f>G281</f>
        <v>6164.9697265625</v>
      </c>
      <c r="F109" s="8">
        <f t="shared" si="143"/>
        <v>753.93315839393244</v>
      </c>
      <c r="G109" s="8">
        <f t="shared" si="144"/>
        <v>39351.362776036265</v>
      </c>
      <c r="H109" s="8">
        <f>H281</f>
        <v>24671.779767202221</v>
      </c>
      <c r="I109" s="8">
        <f>I281</f>
        <v>47493.317803464008</v>
      </c>
      <c r="J109" s="11">
        <f t="shared" si="145"/>
        <v>82.292268495599998</v>
      </c>
      <c r="K109" s="8">
        <f>J281</f>
        <v>0</v>
      </c>
      <c r="M109">
        <f t="shared" si="136"/>
        <v>2011</v>
      </c>
      <c r="N109" s="8">
        <f t="shared" si="137"/>
        <v>39351.362776036265</v>
      </c>
      <c r="O109" s="8">
        <f t="shared" si="138"/>
        <v>37805.036617819387</v>
      </c>
      <c r="P109" s="8">
        <f t="shared" si="146"/>
        <v>39493.134537271362</v>
      </c>
      <c r="AK109" s="51"/>
      <c r="AL109" s="51"/>
      <c r="AN109" s="8"/>
      <c r="AO109" s="8"/>
      <c r="CD109" s="15"/>
      <c r="CE109" s="15"/>
      <c r="CF109" s="15"/>
      <c r="CG109" s="8"/>
      <c r="CH109" s="10"/>
      <c r="CI109" s="8"/>
      <c r="CJ109" s="8"/>
      <c r="CM109" s="15"/>
      <c r="CN109" s="15"/>
      <c r="CO109" s="8">
        <v>285.63533926720851</v>
      </c>
      <c r="CP109" s="8">
        <v>0</v>
      </c>
      <c r="CQ109" s="56">
        <v>39052</v>
      </c>
      <c r="CR109" s="8">
        <v>232.07590449275463</v>
      </c>
      <c r="CS109" s="8">
        <v>0</v>
      </c>
      <c r="CT109" s="8">
        <v>0</v>
      </c>
      <c r="CU109" s="8">
        <v>0</v>
      </c>
      <c r="CW109" s="8"/>
      <c r="CX109" s="8">
        <f>SUM(CS96:CS100)+SUM(CP96:CP100)</f>
        <v>12215.881523947954</v>
      </c>
      <c r="CY109" s="8">
        <f t="shared" ref="CY109" si="149">SUM(CT96:CT100)</f>
        <v>0</v>
      </c>
      <c r="CZ109" s="8">
        <f t="shared" ref="CZ109" si="150">SUM(CU96:CU100)</f>
        <v>5874.9629999999997</v>
      </c>
      <c r="DA109" s="8">
        <f>SUM(CX109:CZ109)</f>
        <v>18090.844523947955</v>
      </c>
    </row>
    <row r="110" spans="1:105" x14ac:dyDescent="0.25">
      <c r="A110" s="38">
        <v>2012</v>
      </c>
      <c r="B110" s="8">
        <v>49144.070000000007</v>
      </c>
      <c r="C110" s="8">
        <f t="shared" si="147"/>
        <v>3231.8208613540005</v>
      </c>
      <c r="D110" s="8">
        <f t="shared" si="142"/>
        <v>45912.24913864601</v>
      </c>
      <c r="E110" s="8">
        <f>G293</f>
        <v>8938.6401138305664</v>
      </c>
      <c r="F110" s="8">
        <f t="shared" si="143"/>
        <v>915.42824368176355</v>
      </c>
      <c r="G110" s="8">
        <f t="shared" si="144"/>
        <v>44996.820894964243</v>
      </c>
      <c r="H110" s="8">
        <f>H293</f>
        <v>28997.882210839351</v>
      </c>
      <c r="I110" s="8">
        <f>I293</f>
        <v>53435.350267997033</v>
      </c>
      <c r="J110" s="11">
        <f t="shared" si="145"/>
        <v>-76.443558031400002</v>
      </c>
      <c r="K110" s="8">
        <f>J293</f>
        <v>34380.639648437507</v>
      </c>
      <c r="M110">
        <f t="shared" si="136"/>
        <v>2012</v>
      </c>
      <c r="N110" s="8">
        <f t="shared" si="137"/>
        <v>44996.820894964243</v>
      </c>
      <c r="O110" s="8">
        <f t="shared" si="138"/>
        <v>44184.633528590886</v>
      </c>
      <c r="P110" s="8">
        <f t="shared" si="146"/>
        <v>48333.652438814119</v>
      </c>
      <c r="AK110" s="51"/>
      <c r="AL110" s="51"/>
      <c r="AN110" s="8"/>
      <c r="AO110" s="8"/>
      <c r="CD110" s="15"/>
      <c r="CE110" s="15"/>
      <c r="CF110" s="15"/>
      <c r="CG110" s="8"/>
      <c r="CH110" s="10"/>
      <c r="CI110" s="8"/>
      <c r="CJ110" s="8"/>
      <c r="CM110" s="15"/>
      <c r="CN110" s="15"/>
      <c r="CO110" s="8">
        <v>224.77642874717714</v>
      </c>
      <c r="CP110" s="8">
        <v>0</v>
      </c>
      <c r="CQ110" s="56">
        <v>39083</v>
      </c>
      <c r="CR110" s="8">
        <v>475.96729572943872</v>
      </c>
      <c r="CS110" s="8">
        <v>20.544592857360801</v>
      </c>
      <c r="CT110" s="8">
        <v>0</v>
      </c>
      <c r="CU110" s="8">
        <v>0</v>
      </c>
    </row>
    <row r="111" spans="1:105" x14ac:dyDescent="0.25">
      <c r="A111" s="38">
        <v>2013</v>
      </c>
      <c r="B111" s="8">
        <v>51727.76</v>
      </c>
      <c r="C111" s="8">
        <f t="shared" si="147"/>
        <v>4530.6978733299356</v>
      </c>
      <c r="D111" s="8">
        <f t="shared" si="142"/>
        <v>47197.062126670069</v>
      </c>
      <c r="E111" s="8">
        <f>G305</f>
        <v>10248.364486694336</v>
      </c>
      <c r="F111" s="8">
        <f t="shared" si="143"/>
        <v>1061.766233847258</v>
      </c>
      <c r="G111" s="8">
        <f t="shared" si="144"/>
        <v>46135.295892822811</v>
      </c>
      <c r="H111" s="8">
        <f>H305</f>
        <v>65662.919150409114</v>
      </c>
      <c r="I111" s="8">
        <f t="shared" ref="I111" si="151">I305</f>
        <v>38874.085409215542</v>
      </c>
      <c r="J111" s="11">
        <f t="shared" si="145"/>
        <v>-65.2185349274</v>
      </c>
      <c r="K111" s="8">
        <f>J305</f>
        <v>85.574804687500006</v>
      </c>
      <c r="M111">
        <f t="shared" si="136"/>
        <v>2013</v>
      </c>
      <c r="N111" s="8">
        <f t="shared" si="137"/>
        <v>46135.295892822811</v>
      </c>
      <c r="O111" s="8">
        <f t="shared" si="138"/>
        <v>53854.089134147958</v>
      </c>
      <c r="P111" s="8">
        <f t="shared" si="146"/>
        <v>52923.903372361616</v>
      </c>
      <c r="AI111">
        <v>2006</v>
      </c>
      <c r="AJ111">
        <v>11</v>
      </c>
      <c r="AK111" s="51">
        <v>2147.176577500999</v>
      </c>
      <c r="AL111" s="51">
        <v>0</v>
      </c>
      <c r="CD111" s="15"/>
      <c r="CE111" s="15"/>
      <c r="CF111" s="15"/>
      <c r="CG111" s="8"/>
      <c r="CH111" s="8"/>
      <c r="CI111" s="8"/>
      <c r="CM111" s="15"/>
      <c r="CN111" s="15"/>
      <c r="CO111" s="8">
        <v>0</v>
      </c>
      <c r="CP111" s="8">
        <v>3.6360087990760799E-2</v>
      </c>
      <c r="CQ111" s="56">
        <v>39114</v>
      </c>
      <c r="CR111" s="8">
        <v>17.682555168867111</v>
      </c>
      <c r="CS111" s="8">
        <v>224.73400497436521</v>
      </c>
      <c r="CT111" s="8">
        <v>0</v>
      </c>
      <c r="CU111" s="8">
        <v>1633.8</v>
      </c>
    </row>
    <row r="112" spans="1:105" x14ac:dyDescent="0.25">
      <c r="L112" t="s">
        <v>323</v>
      </c>
      <c r="AG112">
        <v>2006</v>
      </c>
      <c r="AH112">
        <v>12</v>
      </c>
      <c r="AI112" s="51">
        <v>6621.0468306274852</v>
      </c>
      <c r="AJ112" s="51">
        <v>0</v>
      </c>
      <c r="CB112" s="15"/>
      <c r="CC112" s="15"/>
      <c r="CD112" s="15"/>
      <c r="CE112" s="8"/>
      <c r="CF112" s="8"/>
      <c r="CG112" s="8"/>
      <c r="CK112" s="15"/>
      <c r="CL112" s="15"/>
      <c r="CM112" s="15"/>
      <c r="CN112" s="15"/>
      <c r="CO112" s="8">
        <v>101.35426934654816</v>
      </c>
      <c r="CP112" s="8">
        <v>142.25324835982181</v>
      </c>
      <c r="CQ112" s="56">
        <v>39142</v>
      </c>
      <c r="CR112" s="8">
        <v>155.85962644452243</v>
      </c>
      <c r="CS112" s="8">
        <v>111.10940790176386</v>
      </c>
      <c r="CT112" s="8">
        <v>0</v>
      </c>
      <c r="CU112" s="8">
        <v>1840.3</v>
      </c>
    </row>
    <row r="113" spans="1:105" x14ac:dyDescent="0.25">
      <c r="L113" s="24" t="s">
        <v>144</v>
      </c>
      <c r="M113" s="24" t="s">
        <v>373</v>
      </c>
      <c r="N113" s="24" t="s">
        <v>272</v>
      </c>
      <c r="O113" s="24" t="s">
        <v>271</v>
      </c>
      <c r="AG113">
        <v>2007</v>
      </c>
      <c r="AH113">
        <v>1</v>
      </c>
      <c r="AI113" s="51">
        <v>5845.618792474268</v>
      </c>
      <c r="AJ113" s="51">
        <v>0</v>
      </c>
      <c r="CB113" s="15"/>
      <c r="CC113" s="15"/>
      <c r="CD113" s="15"/>
      <c r="CE113" s="8"/>
      <c r="CF113" s="8"/>
      <c r="CG113" s="8"/>
      <c r="CK113" s="15"/>
      <c r="CL113" s="15"/>
      <c r="CM113" s="15"/>
      <c r="CN113" s="15"/>
      <c r="CO113" s="8">
        <v>0</v>
      </c>
      <c r="CP113" s="8">
        <v>0</v>
      </c>
      <c r="CQ113" s="56">
        <v>39173</v>
      </c>
      <c r="CR113" s="8">
        <v>1.299212291836739</v>
      </c>
      <c r="CS113" s="8">
        <v>0</v>
      </c>
      <c r="CT113" s="8">
        <v>0</v>
      </c>
      <c r="CU113" s="8">
        <v>0</v>
      </c>
    </row>
    <row r="114" spans="1:105" x14ac:dyDescent="0.25">
      <c r="B114" t="s">
        <v>362</v>
      </c>
      <c r="C114" t="s">
        <v>250</v>
      </c>
      <c r="D114" t="s">
        <v>251</v>
      </c>
      <c r="E114" t="s">
        <v>144</v>
      </c>
      <c r="L114">
        <f t="array" ref="L114:O118">LINEST(G97:G111,H97:K111,0,1)</f>
        <v>0.38179431996367869</v>
      </c>
      <c r="M114">
        <v>59.168119798703813</v>
      </c>
      <c r="N114">
        <v>0.40444929330037033</v>
      </c>
      <c r="O114">
        <v>0.62481981680172061</v>
      </c>
      <c r="AG114">
        <v>2007</v>
      </c>
      <c r="AH114">
        <v>2</v>
      </c>
      <c r="AI114" s="51">
        <v>0.729333937168121</v>
      </c>
      <c r="AJ114" s="51">
        <v>0</v>
      </c>
      <c r="CB114" s="15"/>
      <c r="CC114" s="15"/>
      <c r="CD114" s="15"/>
      <c r="CE114" s="8"/>
      <c r="CF114" s="8"/>
      <c r="CG114" s="8"/>
      <c r="CK114" s="15"/>
      <c r="CL114" s="15"/>
      <c r="CM114" s="15"/>
      <c r="CN114" s="15"/>
      <c r="CO114" s="8">
        <v>0</v>
      </c>
      <c r="CP114" s="8">
        <v>0</v>
      </c>
      <c r="CQ114" s="56">
        <v>39203</v>
      </c>
      <c r="CR114" s="8">
        <v>0</v>
      </c>
      <c r="CS114" s="8">
        <v>0</v>
      </c>
      <c r="CT114" s="8">
        <v>0</v>
      </c>
      <c r="CU114" s="8">
        <v>0</v>
      </c>
    </row>
    <row r="115" spans="1:105" x14ac:dyDescent="0.25">
      <c r="A115" s="56">
        <v>35796</v>
      </c>
      <c r="B115" s="8">
        <v>2244.9920883178711</v>
      </c>
      <c r="C115" s="8">
        <v>99287.181831645968</v>
      </c>
      <c r="D115" s="8">
        <v>0.61571044921875051</v>
      </c>
      <c r="E115" s="8">
        <v>0</v>
      </c>
      <c r="L115">
        <v>0.16971854271778378</v>
      </c>
      <c r="M115">
        <v>48.494141256780892</v>
      </c>
      <c r="N115">
        <v>8.5745625631172273E-2</v>
      </c>
      <c r="O115">
        <v>0.1201072451315128</v>
      </c>
      <c r="AG115">
        <v>2007</v>
      </c>
      <c r="AH115">
        <v>3</v>
      </c>
      <c r="AI115" s="51">
        <v>5242.7594692930634</v>
      </c>
      <c r="AJ115" s="51">
        <v>0</v>
      </c>
      <c r="AO115">
        <f>AI108</f>
        <v>2006</v>
      </c>
      <c r="AP115" s="8">
        <f>SUM(AI111:AI115)</f>
        <v>19716.154426331985</v>
      </c>
      <c r="AQ115" s="8">
        <f>SUM(AJ111:AJ115)</f>
        <v>11</v>
      </c>
      <c r="CB115" s="15"/>
      <c r="CC115" s="15"/>
      <c r="CD115" s="15"/>
      <c r="CE115" s="8"/>
      <c r="CF115" s="8"/>
      <c r="CG115" s="8"/>
      <c r="CK115" s="15"/>
      <c r="CL115" s="15"/>
      <c r="CM115" s="15"/>
      <c r="CN115" s="15"/>
      <c r="CO115" s="8">
        <v>0</v>
      </c>
      <c r="CP115" s="8">
        <v>0</v>
      </c>
      <c r="CQ115" s="56">
        <v>39234</v>
      </c>
      <c r="CR115" s="8">
        <v>0</v>
      </c>
      <c r="CS115" s="8">
        <v>0</v>
      </c>
      <c r="CT115" s="8">
        <v>0</v>
      </c>
      <c r="CU115" s="8">
        <v>0</v>
      </c>
    </row>
    <row r="116" spans="1:105" x14ac:dyDescent="0.25">
      <c r="A116" s="56">
        <v>35827</v>
      </c>
      <c r="B116" s="8">
        <v>1581.2518920898442</v>
      </c>
      <c r="C116" s="8">
        <v>46970.748346710207</v>
      </c>
      <c r="D116" s="8">
        <v>1167.9402450352907</v>
      </c>
      <c r="E116" s="8">
        <v>0</v>
      </c>
      <c r="L116">
        <v>0.97038590656921841</v>
      </c>
      <c r="M116">
        <v>7357.51274053215</v>
      </c>
      <c r="N116" t="e">
        <v>#N/A</v>
      </c>
      <c r="O116" t="e">
        <v>#N/A</v>
      </c>
      <c r="AG116">
        <v>2007</v>
      </c>
      <c r="AH116">
        <v>4</v>
      </c>
      <c r="AI116" s="51">
        <v>1.54291214421391E-2</v>
      </c>
      <c r="AJ116" s="51">
        <v>0</v>
      </c>
      <c r="CB116" s="15"/>
      <c r="CC116" s="15"/>
      <c r="CD116" s="15"/>
      <c r="CE116" s="8"/>
      <c r="CF116" s="8"/>
      <c r="CG116" s="8"/>
      <c r="CK116" s="15"/>
      <c r="CL116" s="15"/>
      <c r="CM116" s="15"/>
      <c r="CN116" s="15"/>
      <c r="CO116" s="8">
        <v>13.580911076813928</v>
      </c>
      <c r="CP116" s="8">
        <v>0</v>
      </c>
      <c r="CQ116" s="56">
        <v>39264</v>
      </c>
      <c r="CR116" s="8">
        <v>0</v>
      </c>
      <c r="CS116" s="8">
        <v>0</v>
      </c>
      <c r="CT116" s="8">
        <v>0</v>
      </c>
      <c r="CU116" s="8">
        <v>29.091999999999999</v>
      </c>
    </row>
    <row r="117" spans="1:105" x14ac:dyDescent="0.25">
      <c r="A117" s="56">
        <v>35855</v>
      </c>
      <c r="B117" s="8">
        <v>1873.836853027344</v>
      </c>
      <c r="C117" s="8">
        <v>25543.380219745653</v>
      </c>
      <c r="D117" s="8">
        <v>0</v>
      </c>
      <c r="E117" s="8">
        <v>0</v>
      </c>
      <c r="L117">
        <v>90.111191460333345</v>
      </c>
      <c r="M117">
        <v>11</v>
      </c>
      <c r="N117" t="e">
        <v>#N/A</v>
      </c>
      <c r="O117" t="e">
        <v>#N/A</v>
      </c>
      <c r="AG117">
        <v>2007</v>
      </c>
      <c r="AH117">
        <v>5</v>
      </c>
      <c r="AI117" s="51">
        <v>0</v>
      </c>
      <c r="AJ117" s="51">
        <v>0</v>
      </c>
      <c r="CB117" s="15"/>
      <c r="CC117" s="15"/>
      <c r="CD117" s="15"/>
      <c r="CE117" s="8"/>
      <c r="CF117" s="8"/>
      <c r="CG117" s="8"/>
      <c r="CK117" s="15"/>
      <c r="CL117" s="15"/>
      <c r="CM117" s="15"/>
      <c r="CN117" s="15"/>
      <c r="CO117" s="8">
        <v>14.051430840790269</v>
      </c>
      <c r="CP117" s="8">
        <v>169.85363146849014</v>
      </c>
      <c r="CQ117" s="56">
        <v>39295</v>
      </c>
      <c r="CR117" s="8">
        <v>0</v>
      </c>
      <c r="CS117" s="8">
        <v>162.13497017696497</v>
      </c>
      <c r="CT117" s="8">
        <v>0</v>
      </c>
      <c r="CU117" s="8">
        <v>12.548</v>
      </c>
    </row>
    <row r="118" spans="1:105" x14ac:dyDescent="0.25">
      <c r="A118" s="56">
        <v>35886</v>
      </c>
      <c r="B118" s="8">
        <v>0</v>
      </c>
      <c r="C118" s="8">
        <v>538.91701786443616</v>
      </c>
      <c r="D118" s="8">
        <v>0</v>
      </c>
      <c r="E118" s="8">
        <v>0</v>
      </c>
      <c r="L118">
        <v>19511954248.252373</v>
      </c>
      <c r="M118">
        <v>595462930.99802208</v>
      </c>
      <c r="N118" t="e">
        <v>#N/A</v>
      </c>
      <c r="O118" t="e">
        <v>#N/A</v>
      </c>
      <c r="AG118">
        <v>2007</v>
      </c>
      <c r="AH118">
        <v>6</v>
      </c>
      <c r="AI118" s="51">
        <v>0</v>
      </c>
      <c r="AJ118" s="51">
        <v>0</v>
      </c>
      <c r="CB118" s="15"/>
      <c r="CC118" s="15"/>
      <c r="CD118" s="15"/>
      <c r="CE118" s="8"/>
      <c r="CF118" s="8"/>
      <c r="CG118" s="8"/>
      <c r="CK118" s="15"/>
      <c r="CL118" s="15"/>
      <c r="CM118" s="15"/>
      <c r="CN118" s="15"/>
      <c r="CO118" s="8">
        <v>181.64844433382393</v>
      </c>
      <c r="CP118" s="8">
        <v>0</v>
      </c>
      <c r="CQ118" s="56">
        <v>39326</v>
      </c>
      <c r="CR118" s="8">
        <v>117.02048180438571</v>
      </c>
      <c r="CS118" s="8">
        <v>117.66325497627261</v>
      </c>
      <c r="CT118" s="8">
        <v>0</v>
      </c>
      <c r="CU118" s="8">
        <v>1943.5</v>
      </c>
    </row>
    <row r="119" spans="1:105" x14ac:dyDescent="0.25">
      <c r="A119" s="56">
        <v>35916</v>
      </c>
      <c r="B119" s="8">
        <v>0</v>
      </c>
      <c r="C119" s="8">
        <v>258.63655520081534</v>
      </c>
      <c r="D119" s="8">
        <v>10034.822315970061</v>
      </c>
      <c r="E119" s="8">
        <v>0</v>
      </c>
      <c r="AG119">
        <v>2007</v>
      </c>
      <c r="AH119">
        <v>7</v>
      </c>
      <c r="AI119" s="51">
        <v>330.48351623385685</v>
      </c>
      <c r="AJ119" s="51">
        <v>0</v>
      </c>
      <c r="CB119" s="15"/>
      <c r="CC119" s="15"/>
      <c r="CD119" s="15"/>
      <c r="CE119" s="8"/>
      <c r="CF119" s="8"/>
      <c r="CG119" s="8"/>
      <c r="CK119" s="15"/>
      <c r="CL119" s="15"/>
      <c r="CM119" s="15"/>
      <c r="CN119" s="15"/>
      <c r="CO119" s="8">
        <v>30.355319242551925</v>
      </c>
      <c r="CP119" s="8">
        <v>0</v>
      </c>
      <c r="CQ119" s="56">
        <v>39356</v>
      </c>
      <c r="CR119" s="8">
        <v>45.990297272801399</v>
      </c>
      <c r="CS119" s="8">
        <v>0</v>
      </c>
      <c r="CT119" s="8">
        <v>0</v>
      </c>
      <c r="CU119" s="8">
        <v>0</v>
      </c>
    </row>
    <row r="120" spans="1:105" x14ac:dyDescent="0.25">
      <c r="A120" s="56">
        <v>35947</v>
      </c>
      <c r="B120" s="8">
        <v>0</v>
      </c>
      <c r="C120" s="8">
        <v>113.75926506519313</v>
      </c>
      <c r="D120" s="8">
        <v>5258.9290689468371</v>
      </c>
      <c r="E120" s="8">
        <v>0</v>
      </c>
      <c r="L120" t="s">
        <v>322</v>
      </c>
      <c r="AG120">
        <v>2007</v>
      </c>
      <c r="AH120">
        <v>8</v>
      </c>
      <c r="AI120" s="51">
        <v>3972.30352257192</v>
      </c>
      <c r="AJ120" s="51">
        <v>0</v>
      </c>
      <c r="CB120" s="15"/>
      <c r="CC120" s="15"/>
      <c r="CD120" s="15"/>
      <c r="CE120" s="8"/>
      <c r="CF120" s="8"/>
      <c r="CG120" s="8"/>
      <c r="CK120" s="15"/>
      <c r="CL120" s="15"/>
      <c r="CM120" s="15"/>
      <c r="CN120" s="15"/>
      <c r="CO120" s="8">
        <v>128.39303137334062</v>
      </c>
      <c r="CP120" s="8">
        <v>3.3273144277743998</v>
      </c>
      <c r="CQ120" s="56">
        <v>39387</v>
      </c>
      <c r="CR120" s="8">
        <v>99.520864956080899</v>
      </c>
      <c r="CS120" s="8">
        <v>931.51727294921864</v>
      </c>
      <c r="CT120" s="8">
        <v>0</v>
      </c>
      <c r="CU120" s="8">
        <v>3999.8</v>
      </c>
      <c r="CV120" s="56">
        <f>CQ120</f>
        <v>39387</v>
      </c>
      <c r="CW120" s="8">
        <f>SUM(CR116:CR124)+SUM(CO116:CO124)</f>
        <v>2073.5781248766348</v>
      </c>
      <c r="CX120" s="8">
        <f>SUM(CS108:CS119)+SUM(CP108:CP119)</f>
        <v>948.32947080303018</v>
      </c>
      <c r="CY120" s="8">
        <f t="shared" ref="CY120" si="152">SUM(CT108:CT119)</f>
        <v>0</v>
      </c>
      <c r="CZ120" s="8">
        <f>SUM(CU108:CU119)</f>
        <v>5500.4210000000003</v>
      </c>
    </row>
    <row r="121" spans="1:105" x14ac:dyDescent="0.25">
      <c r="A121" s="56">
        <v>35977</v>
      </c>
      <c r="B121" s="8">
        <v>0</v>
      </c>
      <c r="C121" s="8">
        <v>47.21438989937306</v>
      </c>
      <c r="D121" s="8">
        <v>56529.363087766076</v>
      </c>
      <c r="E121" s="8">
        <v>30458.922656250001</v>
      </c>
      <c r="L121" t="s">
        <v>373</v>
      </c>
      <c r="M121" t="s">
        <v>251</v>
      </c>
      <c r="N121" t="s">
        <v>271</v>
      </c>
      <c r="AG121">
        <v>2007</v>
      </c>
      <c r="AH121">
        <v>9</v>
      </c>
      <c r="AI121" s="51">
        <v>5457.680468111299</v>
      </c>
      <c r="AJ121" s="51">
        <v>0</v>
      </c>
      <c r="CB121" s="15"/>
      <c r="CC121" s="15"/>
      <c r="CD121" s="15"/>
      <c r="CE121" s="8"/>
      <c r="CF121" s="8"/>
      <c r="CG121" s="8"/>
      <c r="CK121" s="15"/>
      <c r="CL121" s="15"/>
      <c r="CM121" s="15"/>
      <c r="CN121" s="15"/>
      <c r="CO121" s="8">
        <v>249.94451870615603</v>
      </c>
      <c r="CP121" s="8">
        <v>0</v>
      </c>
      <c r="CQ121" s="56">
        <v>39417</v>
      </c>
      <c r="CR121" s="8">
        <v>116.26040001225194</v>
      </c>
      <c r="CS121" s="8">
        <v>4811.6796875</v>
      </c>
      <c r="CT121" s="8">
        <v>0</v>
      </c>
      <c r="CU121" s="8">
        <v>3985.9</v>
      </c>
      <c r="CW121" s="8"/>
      <c r="CX121" s="8">
        <f>SUM(CS108:CS112)+SUM(CP108:CP112)</f>
        <v>498.67761418130249</v>
      </c>
      <c r="CY121" s="8">
        <f t="shared" ref="CY121" si="153">SUM(CT108:CT112)</f>
        <v>0</v>
      </c>
      <c r="CZ121" s="8">
        <f t="shared" ref="CZ121" si="154">SUM(CU108:CU112)</f>
        <v>3515.2809999999999</v>
      </c>
      <c r="DA121" s="8">
        <f>SUM(CX121:CZ121)</f>
        <v>4013.9586141813024</v>
      </c>
    </row>
    <row r="122" spans="1:105" x14ac:dyDescent="0.25">
      <c r="A122" s="56">
        <v>36008</v>
      </c>
      <c r="B122" s="8">
        <v>0</v>
      </c>
      <c r="C122" s="8">
        <v>5.96752318143845</v>
      </c>
      <c r="D122" s="8">
        <v>22696.280035401149</v>
      </c>
      <c r="E122" s="8">
        <v>283.24843750000002</v>
      </c>
      <c r="L122">
        <f t="array" ref="L122:N126">LINEST(G97:G111,H97:J111,0,1)</f>
        <v>-6.1978414802814958</v>
      </c>
      <c r="M122">
        <v>0.55438745065930461</v>
      </c>
      <c r="N122">
        <v>0.4857927472474533</v>
      </c>
      <c r="AG122">
        <v>2007</v>
      </c>
      <c r="AH122">
        <v>10</v>
      </c>
      <c r="AI122" s="51">
        <v>991.93314447812736</v>
      </c>
      <c r="AJ122" s="51">
        <v>0</v>
      </c>
      <c r="AK122">
        <f>AG122</f>
        <v>2007</v>
      </c>
      <c r="AL122" s="8">
        <f>SUM(AI119:AI122)</f>
        <v>10752.400651395204</v>
      </c>
      <c r="AM122" s="8">
        <f>SUM(AJ111:AJ122)</f>
        <v>11</v>
      </c>
      <c r="CB122" s="15"/>
      <c r="CC122" s="15"/>
      <c r="CD122" s="15"/>
      <c r="CE122" s="8"/>
      <c r="CF122" s="10"/>
      <c r="CG122" s="8"/>
      <c r="CH122" s="8"/>
      <c r="CK122" s="15"/>
      <c r="CL122" s="15"/>
      <c r="CM122" s="15"/>
      <c r="CN122" s="15"/>
      <c r="CO122" s="8">
        <v>458.82109504453842</v>
      </c>
      <c r="CP122" s="8">
        <v>59.061931738257378</v>
      </c>
      <c r="CQ122" s="56">
        <v>39448</v>
      </c>
      <c r="CR122" s="8">
        <v>221.72029096819452</v>
      </c>
      <c r="CS122" s="8">
        <v>1083.1943114995954</v>
      </c>
      <c r="CT122" s="8">
        <v>0</v>
      </c>
      <c r="CU122" s="8">
        <v>2786.8</v>
      </c>
    </row>
    <row r="123" spans="1:105" x14ac:dyDescent="0.25">
      <c r="A123" s="56">
        <v>36039</v>
      </c>
      <c r="B123" s="8">
        <v>0</v>
      </c>
      <c r="C123" s="8">
        <v>578.86531543731701</v>
      </c>
      <c r="D123" s="8">
        <v>3875.6988281250083</v>
      </c>
      <c r="E123" s="8">
        <v>6730.9757812500002</v>
      </c>
      <c r="L123">
        <v>44.915877706571415</v>
      </c>
      <c r="M123">
        <v>6.2405821956814531E-2</v>
      </c>
      <c r="N123">
        <v>0.11914405968863366</v>
      </c>
      <c r="AG123">
        <v>2007</v>
      </c>
      <c r="AH123">
        <v>11</v>
      </c>
      <c r="AI123" s="51">
        <v>2930.2715787619809</v>
      </c>
      <c r="AJ123" s="51">
        <v>0</v>
      </c>
      <c r="CB123" s="15"/>
      <c r="CC123" s="15"/>
      <c r="CD123" s="15"/>
      <c r="CE123" s="8"/>
      <c r="CF123" s="8"/>
      <c r="CG123" s="8"/>
      <c r="CK123" s="15"/>
      <c r="CL123" s="15"/>
      <c r="CM123" s="15"/>
      <c r="CN123" s="15"/>
      <c r="CO123" s="8">
        <v>135.71686954088506</v>
      </c>
      <c r="CP123" s="8">
        <v>1049.1141900374093</v>
      </c>
      <c r="CQ123" s="56">
        <v>39479</v>
      </c>
      <c r="CR123" s="8">
        <v>137.62096471339464</v>
      </c>
      <c r="CS123" s="8">
        <v>8849.9779061302543</v>
      </c>
      <c r="CT123" s="8">
        <v>0</v>
      </c>
      <c r="CU123" s="8">
        <v>1512.9</v>
      </c>
    </row>
    <row r="124" spans="1:105" x14ac:dyDescent="0.25">
      <c r="A124" s="56">
        <v>36069</v>
      </c>
      <c r="B124" s="8">
        <v>1523.870010375977</v>
      </c>
      <c r="C124" s="8">
        <v>1433.2673752784731</v>
      </c>
      <c r="D124" s="8">
        <v>1352.3984033947825</v>
      </c>
      <c r="E124" s="8">
        <v>0</v>
      </c>
      <c r="G124" t="s">
        <v>362</v>
      </c>
      <c r="H124" t="s">
        <v>250</v>
      </c>
      <c r="I124" t="s">
        <v>251</v>
      </c>
      <c r="J124" t="s">
        <v>144</v>
      </c>
      <c r="L124">
        <v>0.95676186076748071</v>
      </c>
      <c r="M124">
        <v>8511.7923279157276</v>
      </c>
      <c r="N124" t="e">
        <v>#N/A</v>
      </c>
      <c r="AG124">
        <v>2007</v>
      </c>
      <c r="AH124">
        <v>12</v>
      </c>
      <c r="AI124" s="51">
        <v>5603.5879249814898</v>
      </c>
      <c r="AJ124" s="51">
        <v>0</v>
      </c>
      <c r="CB124" s="15"/>
      <c r="CC124" s="15"/>
      <c r="CD124" s="15"/>
      <c r="CE124" s="8"/>
      <c r="CF124" s="8"/>
      <c r="CG124" s="8"/>
      <c r="CK124" s="15"/>
      <c r="CL124" s="15"/>
      <c r="CM124" s="15"/>
      <c r="CN124" s="15"/>
      <c r="CO124" s="8">
        <v>74.776774507760976</v>
      </c>
      <c r="CP124" s="8">
        <v>0</v>
      </c>
      <c r="CQ124" s="56">
        <v>39508</v>
      </c>
      <c r="CR124" s="8">
        <v>48.15643048286438</v>
      </c>
      <c r="CS124" s="8">
        <v>350.92736036935833</v>
      </c>
      <c r="CT124" s="8">
        <v>0</v>
      </c>
      <c r="CU124" s="8">
        <v>87.403999999999996</v>
      </c>
    </row>
    <row r="125" spans="1:105" x14ac:dyDescent="0.25">
      <c r="A125" s="56">
        <v>36100</v>
      </c>
      <c r="B125" s="8">
        <v>1126.0014457702637</v>
      </c>
      <c r="C125" s="8">
        <v>7677.395393371582</v>
      </c>
      <c r="D125" s="8">
        <v>1162.0946375264782</v>
      </c>
      <c r="E125" s="8">
        <v>0</v>
      </c>
      <c r="F125" s="56">
        <f>A125</f>
        <v>36100</v>
      </c>
      <c r="G125" s="8">
        <f>SUM(B121:B129)</f>
        <v>9118.3618392944336</v>
      </c>
      <c r="H125" s="8">
        <f>SUM(C121:C125)</f>
        <v>9742.7099971681837</v>
      </c>
      <c r="I125" s="8">
        <f t="shared" ref="I125:J125" si="155">SUM(D115:D124)</f>
        <v>100916.0476950884</v>
      </c>
      <c r="J125" s="8">
        <f t="shared" si="155"/>
        <v>37473.146874999999</v>
      </c>
      <c r="L125">
        <v>88.510919086721543</v>
      </c>
      <c r="M125">
        <v>12</v>
      </c>
      <c r="N125" t="e">
        <v>#N/A</v>
      </c>
      <c r="AG125">
        <v>2008</v>
      </c>
      <c r="AH125">
        <v>1</v>
      </c>
      <c r="AI125" s="51">
        <v>13030.584628328679</v>
      </c>
      <c r="AJ125" s="51">
        <v>0</v>
      </c>
      <c r="CB125" s="15"/>
      <c r="CC125" s="15"/>
      <c r="CD125" s="15"/>
      <c r="CE125" s="8"/>
      <c r="CF125" s="8"/>
      <c r="CG125" s="8"/>
      <c r="CK125" s="15"/>
      <c r="CL125" s="15"/>
      <c r="CM125" s="15"/>
      <c r="CN125" s="15"/>
      <c r="CO125" s="8">
        <v>104.00564588643608</v>
      </c>
      <c r="CP125" s="8">
        <v>0</v>
      </c>
      <c r="CQ125" s="56">
        <v>39539</v>
      </c>
      <c r="CR125" s="8">
        <v>0</v>
      </c>
      <c r="CS125" s="8">
        <v>0</v>
      </c>
      <c r="CT125" s="8">
        <v>0</v>
      </c>
      <c r="CU125" s="8">
        <v>0</v>
      </c>
    </row>
    <row r="126" spans="1:105" x14ac:dyDescent="0.25">
      <c r="A126" s="56">
        <v>36130</v>
      </c>
      <c r="B126" s="8">
        <v>1895.8155059814453</v>
      </c>
      <c r="C126" s="8">
        <v>37834.886219024687</v>
      </c>
      <c r="D126" s="8">
        <v>9.7633636474609471</v>
      </c>
      <c r="E126" s="8">
        <v>0</v>
      </c>
      <c r="L126">
        <v>19238009875.647617</v>
      </c>
      <c r="M126">
        <v>869407303.60278058</v>
      </c>
      <c r="N126" t="e">
        <v>#N/A</v>
      </c>
      <c r="AG126">
        <v>2008</v>
      </c>
      <c r="AH126">
        <v>2</v>
      </c>
      <c r="AI126" s="51">
        <v>30342.283251510464</v>
      </c>
      <c r="AJ126" s="51">
        <v>0</v>
      </c>
      <c r="CB126" s="15"/>
      <c r="CC126" s="15"/>
      <c r="CD126" s="15"/>
      <c r="CE126" s="8"/>
      <c r="CF126" s="8"/>
      <c r="CG126" s="8"/>
      <c r="CK126" s="15"/>
      <c r="CL126" s="15"/>
      <c r="CM126" s="15"/>
      <c r="CN126" s="15"/>
      <c r="CO126" s="8">
        <v>143.54289065599434</v>
      </c>
      <c r="CP126" s="8">
        <v>0</v>
      </c>
      <c r="CQ126" s="56">
        <v>39569</v>
      </c>
      <c r="CR126" s="8">
        <v>31.91655588150023</v>
      </c>
      <c r="CS126" s="8">
        <v>0</v>
      </c>
      <c r="CT126" s="8">
        <v>0</v>
      </c>
      <c r="CU126" s="8">
        <v>0</v>
      </c>
    </row>
    <row r="127" spans="1:105" x14ac:dyDescent="0.25">
      <c r="A127" s="56">
        <v>36161</v>
      </c>
      <c r="B127" s="8">
        <v>2419.5575065612788</v>
      </c>
      <c r="C127" s="8">
        <v>81084.250583267218</v>
      </c>
      <c r="D127" s="8">
        <v>415.71849045753515</v>
      </c>
      <c r="E127" s="8">
        <v>0</v>
      </c>
      <c r="AG127">
        <v>2008</v>
      </c>
      <c r="AH127">
        <v>3</v>
      </c>
      <c r="AI127" s="51">
        <v>3407.1683130562319</v>
      </c>
      <c r="AJ127" s="51">
        <v>0</v>
      </c>
      <c r="AO127">
        <f>AG122</f>
        <v>2007</v>
      </c>
      <c r="AP127" s="8">
        <f>SUM(AI123:AI127)</f>
        <v>55313.89569663885</v>
      </c>
      <c r="AQ127" s="8">
        <f>SUM(AJ123:AJ127)</f>
        <v>0</v>
      </c>
      <c r="CB127" s="15"/>
      <c r="CC127" s="15"/>
      <c r="CD127" s="15"/>
      <c r="CE127" s="8"/>
      <c r="CF127" s="8"/>
      <c r="CG127" s="8"/>
      <c r="CK127" s="15"/>
      <c r="CL127" s="15"/>
      <c r="CM127" s="15"/>
      <c r="CN127" s="15"/>
      <c r="CO127" s="8">
        <v>62.391416643559914</v>
      </c>
      <c r="CP127" s="8">
        <v>0</v>
      </c>
      <c r="CQ127" s="56">
        <v>39600</v>
      </c>
      <c r="CR127" s="8">
        <v>21.941630661487565</v>
      </c>
      <c r="CS127" s="8">
        <v>0</v>
      </c>
      <c r="CT127" s="8">
        <v>0</v>
      </c>
      <c r="CU127" s="8">
        <v>0</v>
      </c>
    </row>
    <row r="128" spans="1:105" x14ac:dyDescent="0.25">
      <c r="A128" s="56">
        <v>36192</v>
      </c>
      <c r="B128" s="8">
        <v>1161.132076263428</v>
      </c>
      <c r="C128" s="8">
        <v>38750.839232349412</v>
      </c>
      <c r="D128" s="8">
        <v>769.12714130058964</v>
      </c>
      <c r="E128" s="8">
        <v>0</v>
      </c>
      <c r="AG128">
        <v>2008</v>
      </c>
      <c r="AH128">
        <v>4</v>
      </c>
      <c r="AI128" s="51">
        <v>4312.0843285471201</v>
      </c>
      <c r="AJ128" s="51">
        <v>0</v>
      </c>
      <c r="CB128" s="15"/>
      <c r="CC128" s="15"/>
      <c r="CD128" s="15"/>
      <c r="CE128" s="8"/>
      <c r="CF128" s="8"/>
      <c r="CG128" s="8"/>
      <c r="CK128" s="15"/>
      <c r="CL128" s="15"/>
      <c r="CM128" s="15"/>
      <c r="CN128" s="15"/>
      <c r="CO128" s="8">
        <v>70.610062339529392</v>
      </c>
      <c r="CP128" s="8">
        <v>0</v>
      </c>
      <c r="CQ128" s="56">
        <v>39630</v>
      </c>
      <c r="CR128" s="8">
        <v>0</v>
      </c>
      <c r="CS128" s="8">
        <v>0</v>
      </c>
      <c r="CT128" s="8">
        <v>0</v>
      </c>
      <c r="CU128" s="8">
        <v>0</v>
      </c>
    </row>
    <row r="129" spans="1:105" x14ac:dyDescent="0.25">
      <c r="A129" s="56">
        <v>36220</v>
      </c>
      <c r="B129" s="8">
        <v>991.98529434204113</v>
      </c>
      <c r="C129" s="8">
        <v>3471.5266751244653</v>
      </c>
      <c r="D129" s="8">
        <v>9179.3589695066275</v>
      </c>
      <c r="E129" s="8">
        <v>0</v>
      </c>
      <c r="L129" s="38" t="s">
        <v>43</v>
      </c>
      <c r="M129" t="str">
        <f>H96</f>
        <v>GS on-alloc</v>
      </c>
      <c r="N129" t="s">
        <v>500</v>
      </c>
      <c r="O129" s="11" t="s">
        <v>598</v>
      </c>
      <c r="Q129" s="38" t="s">
        <v>43</v>
      </c>
      <c r="R129" t="s">
        <v>501</v>
      </c>
      <c r="S129" t="s">
        <v>502</v>
      </c>
      <c r="T129" t="s">
        <v>513</v>
      </c>
      <c r="AG129">
        <v>2008</v>
      </c>
      <c r="AH129">
        <v>5</v>
      </c>
      <c r="AI129" s="51">
        <v>5487.6855046749115</v>
      </c>
      <c r="AJ129" s="51">
        <v>0</v>
      </c>
      <c r="CB129" s="15"/>
      <c r="CC129" s="15"/>
      <c r="CD129" s="15"/>
      <c r="CE129" s="8"/>
      <c r="CF129" s="8"/>
      <c r="CG129" s="8"/>
      <c r="CK129" s="15"/>
      <c r="CL129" s="15"/>
      <c r="CM129" s="15"/>
      <c r="CN129" s="15"/>
      <c r="CO129" s="8">
        <v>166.61915060877797</v>
      </c>
      <c r="CP129" s="8">
        <v>0</v>
      </c>
      <c r="CQ129" s="56">
        <v>39661</v>
      </c>
      <c r="CR129" s="8">
        <v>58.119797229766839</v>
      </c>
      <c r="CS129" s="8">
        <v>44.198348164558368</v>
      </c>
      <c r="CT129" s="8">
        <v>0</v>
      </c>
      <c r="CU129" s="8">
        <v>0</v>
      </c>
    </row>
    <row r="130" spans="1:105" x14ac:dyDescent="0.25">
      <c r="A130" s="56">
        <v>36251</v>
      </c>
      <c r="B130" s="8">
        <v>0</v>
      </c>
      <c r="C130" s="8">
        <v>23.315133106708533</v>
      </c>
      <c r="D130" s="8">
        <v>4.444817267358305E-3</v>
      </c>
      <c r="E130" s="8">
        <v>0</v>
      </c>
      <c r="L130" s="38">
        <v>1999</v>
      </c>
      <c r="M130" s="8">
        <f t="shared" ref="M130:M144" si="156">H97</f>
        <v>39159.906881298128</v>
      </c>
      <c r="N130" s="8">
        <f>I97+K97</f>
        <v>47953.362810304214</v>
      </c>
      <c r="O130" s="11">
        <v>0</v>
      </c>
      <c r="Q130" s="38">
        <v>1999</v>
      </c>
      <c r="R130" s="8">
        <f>G97</f>
        <v>52421.975285414963</v>
      </c>
      <c r="S130" s="8">
        <f>($O$146*M130)+($N$146*N130)+($M$146*O130)</f>
        <v>52145.388581183375</v>
      </c>
      <c r="T130" s="8">
        <f>($R$146*M130)+($Q$146*N130)</f>
        <v>50669.847105857531</v>
      </c>
      <c r="AG130">
        <v>2008</v>
      </c>
      <c r="AH130">
        <v>6</v>
      </c>
      <c r="AI130" s="51">
        <v>2150.979276567698</v>
      </c>
      <c r="AJ130" s="51">
        <v>0</v>
      </c>
      <c r="CB130" s="15"/>
      <c r="CC130" s="15"/>
      <c r="CD130" s="15"/>
      <c r="CE130" s="8"/>
      <c r="CF130" s="8"/>
      <c r="CG130" s="8"/>
      <c r="CK130" s="15"/>
      <c r="CL130" s="15"/>
      <c r="CM130" s="15"/>
      <c r="CN130" s="15"/>
      <c r="CO130" s="8">
        <v>196.34967591091996</v>
      </c>
      <c r="CP130" s="8">
        <v>51.449385195225481</v>
      </c>
      <c r="CQ130" s="56">
        <v>39692</v>
      </c>
      <c r="CR130" s="8">
        <v>104.88310027308756</v>
      </c>
      <c r="CS130" s="8">
        <v>243.65742397680819</v>
      </c>
      <c r="CT130" s="8">
        <v>0</v>
      </c>
      <c r="CU130" s="8">
        <v>534.14</v>
      </c>
    </row>
    <row r="131" spans="1:105" x14ac:dyDescent="0.25">
      <c r="A131" s="56">
        <v>36281</v>
      </c>
      <c r="B131" s="8">
        <v>0</v>
      </c>
      <c r="C131" s="8">
        <v>639.51799843311323</v>
      </c>
      <c r="D131" s="8">
        <v>0</v>
      </c>
      <c r="E131" s="8">
        <v>0</v>
      </c>
      <c r="L131" s="38">
        <v>2000</v>
      </c>
      <c r="M131" s="8">
        <f t="shared" si="156"/>
        <v>30020.951008850338</v>
      </c>
      <c r="N131" s="8">
        <f t="shared" ref="N131:N144" si="157">I98+K98</f>
        <v>72318.003086689961</v>
      </c>
      <c r="O131" s="11">
        <v>0</v>
      </c>
      <c r="Q131" s="38">
        <v>2000</v>
      </c>
      <c r="R131" s="8">
        <f t="shared" ref="R131:R144" si="158">G98</f>
        <v>58827.616297839042</v>
      </c>
      <c r="S131" s="8">
        <f t="shared" ref="S131:S144" si="159">($O$146*M131)+($N$146*N131)+($M$146*O131)</f>
        <v>54704.351020629147</v>
      </c>
      <c r="T131" s="8">
        <f t="shared" ref="T131:T144" si="160">($R$146*M131)+($Q$146*N131)</f>
        <v>53012.680610609284</v>
      </c>
      <c r="AG131">
        <v>2008</v>
      </c>
      <c r="AH131">
        <v>7</v>
      </c>
      <c r="AI131" s="51">
        <v>1378.2476358935237</v>
      </c>
      <c r="AJ131" s="51">
        <v>0</v>
      </c>
      <c r="CB131" s="15"/>
      <c r="CC131" s="15"/>
      <c r="CD131" s="15"/>
      <c r="CE131" s="8"/>
      <c r="CF131" s="8"/>
      <c r="CG131" s="8"/>
      <c r="CK131" s="15"/>
      <c r="CL131" s="15"/>
      <c r="CM131" s="15"/>
      <c r="CN131" s="15"/>
      <c r="CO131" s="8">
        <v>15.634686396643525</v>
      </c>
      <c r="CP131" s="8">
        <v>0</v>
      </c>
      <c r="CQ131" s="56">
        <v>39722</v>
      </c>
      <c r="CR131" s="8">
        <v>0</v>
      </c>
      <c r="CS131" s="8">
        <v>0</v>
      </c>
      <c r="CT131" s="8">
        <v>0</v>
      </c>
      <c r="CU131" s="8">
        <v>0</v>
      </c>
    </row>
    <row r="132" spans="1:105" x14ac:dyDescent="0.25">
      <c r="A132" s="56">
        <v>36312</v>
      </c>
      <c r="B132" s="8">
        <v>0</v>
      </c>
      <c r="C132" s="8">
        <v>325.58804202079796</v>
      </c>
      <c r="D132" s="8">
        <v>15.78198764324187</v>
      </c>
      <c r="E132" s="8">
        <v>0</v>
      </c>
      <c r="L132" s="38">
        <v>2001</v>
      </c>
      <c r="M132" s="8">
        <f t="shared" si="156"/>
        <v>5916.2959381639957</v>
      </c>
      <c r="N132" s="8">
        <f t="shared" si="157"/>
        <v>119949.83135515882</v>
      </c>
      <c r="O132" s="11">
        <v>0</v>
      </c>
      <c r="Q132" s="38">
        <v>2001</v>
      </c>
      <c r="R132" s="8">
        <f t="shared" si="158"/>
        <v>51230.197597627026</v>
      </c>
      <c r="S132" s="8">
        <f t="shared" si="159"/>
        <v>54564.397042045806</v>
      </c>
      <c r="T132" s="8">
        <f t="shared" si="160"/>
        <v>52564.844500478073</v>
      </c>
      <c r="AG132">
        <v>2008</v>
      </c>
      <c r="AH132">
        <v>8</v>
      </c>
      <c r="AI132" s="51">
        <v>5235.9435054063797</v>
      </c>
      <c r="AJ132" s="51">
        <v>0</v>
      </c>
      <c r="CB132" s="15"/>
      <c r="CC132" s="15"/>
      <c r="CD132" s="15"/>
      <c r="CE132" s="8"/>
      <c r="CF132" s="8"/>
      <c r="CG132" s="8"/>
      <c r="CK132" s="15"/>
      <c r="CL132" s="15"/>
      <c r="CM132" s="15"/>
      <c r="CN132" s="15"/>
      <c r="CO132" s="8">
        <v>155.43068248778584</v>
      </c>
      <c r="CP132" s="8">
        <v>645.99755461746884</v>
      </c>
      <c r="CQ132" s="56">
        <v>39753</v>
      </c>
      <c r="CR132" s="8">
        <v>52.632418401539319</v>
      </c>
      <c r="CS132" s="8">
        <v>1325.9307036399841</v>
      </c>
      <c r="CT132" s="8">
        <v>0</v>
      </c>
      <c r="CU132" s="8">
        <v>819.44</v>
      </c>
      <c r="CV132" s="56">
        <f>CQ132</f>
        <v>39753</v>
      </c>
      <c r="CW132" s="8">
        <f>SUM(CR128:CR136)+SUM(CO128:CO136)</f>
        <v>4735.0007406533932</v>
      </c>
      <c r="CX132" s="8">
        <f>SUM(CS120:CS131)+SUM(CP120:CP131)</f>
        <v>17478.105131988461</v>
      </c>
      <c r="CY132" s="8">
        <f t="shared" ref="CY132" si="161">SUM(CT120:CT131)</f>
        <v>0</v>
      </c>
      <c r="CZ132" s="8">
        <f>SUM(CU120:CU131)</f>
        <v>12906.944</v>
      </c>
    </row>
    <row r="133" spans="1:105" x14ac:dyDescent="0.25">
      <c r="A133" s="56">
        <v>36342</v>
      </c>
      <c r="B133" s="8">
        <v>0</v>
      </c>
      <c r="C133" s="8">
        <v>560.68125660419514</v>
      </c>
      <c r="D133" s="8">
        <v>0</v>
      </c>
      <c r="E133" s="8">
        <v>0</v>
      </c>
      <c r="L133" s="38">
        <v>2002</v>
      </c>
      <c r="M133" s="8">
        <f t="shared" si="156"/>
        <v>28300.338299894342</v>
      </c>
      <c r="N133" s="8">
        <f t="shared" si="157"/>
        <v>15221.613335466493</v>
      </c>
      <c r="O133" s="11">
        <v>0</v>
      </c>
      <c r="Q133" s="38">
        <v>2002</v>
      </c>
      <c r="R133" s="8">
        <f t="shared" si="158"/>
        <v>24648.341634288397</v>
      </c>
      <c r="S133" s="8">
        <f t="shared" si="159"/>
        <v>29634.698180633455</v>
      </c>
      <c r="T133" s="8">
        <f t="shared" si="160"/>
        <v>28874.686603388083</v>
      </c>
      <c r="AG133">
        <v>2008</v>
      </c>
      <c r="AH133">
        <v>9</v>
      </c>
      <c r="AI133" s="51">
        <v>7206.4362578988075</v>
      </c>
      <c r="AJ133" s="51">
        <v>0</v>
      </c>
      <c r="CB133" s="15"/>
      <c r="CC133" s="15"/>
      <c r="CD133" s="15"/>
      <c r="CE133" s="8"/>
      <c r="CF133" s="8"/>
      <c r="CG133" s="8"/>
      <c r="CK133" s="15"/>
      <c r="CL133" s="15"/>
      <c r="CM133" s="15"/>
      <c r="CN133" s="15"/>
      <c r="CO133" s="8">
        <v>373.83766412138948</v>
      </c>
      <c r="CP133" s="8">
        <v>161.57545490716581</v>
      </c>
      <c r="CQ133" s="56">
        <v>39783</v>
      </c>
      <c r="CR133" s="8">
        <v>333.90223404765118</v>
      </c>
      <c r="CS133" s="8">
        <v>5216.9224289122531</v>
      </c>
      <c r="CT133" s="8">
        <v>0</v>
      </c>
      <c r="CU133" s="8">
        <v>2172.6</v>
      </c>
      <c r="CW133" s="8"/>
      <c r="CX133" s="8">
        <f>SUM(CS120:CS124)+SUM(CP120:CP124)</f>
        <v>17138.799974651869</v>
      </c>
      <c r="CY133" s="8">
        <f t="shared" ref="CY133" si="162">SUM(CT120:CT124)</f>
        <v>0</v>
      </c>
      <c r="CZ133" s="8">
        <f t="shared" ref="CZ133" si="163">SUM(CU120:CU124)</f>
        <v>12372.804</v>
      </c>
      <c r="DA133" s="8">
        <f>SUM(CX133:CZ133)</f>
        <v>29511.603974651869</v>
      </c>
    </row>
    <row r="134" spans="1:105" x14ac:dyDescent="0.25">
      <c r="A134" s="56">
        <v>36373</v>
      </c>
      <c r="B134" s="8">
        <v>0</v>
      </c>
      <c r="C134" s="8">
        <v>738.01474072933217</v>
      </c>
      <c r="D134" s="8">
        <v>2037.9587494321177</v>
      </c>
      <c r="E134" s="8">
        <v>0</v>
      </c>
      <c r="L134" s="38">
        <v>2003</v>
      </c>
      <c r="M134" s="8">
        <f t="shared" si="156"/>
        <v>10256.311091443895</v>
      </c>
      <c r="N134" s="8">
        <f t="shared" si="157"/>
        <v>50043.842273880844</v>
      </c>
      <c r="O134" s="11">
        <v>1</v>
      </c>
      <c r="Q134" s="38">
        <v>2003</v>
      </c>
      <c r="R134" s="8">
        <f t="shared" si="158"/>
        <v>12298.048377180796</v>
      </c>
      <c r="S134" s="8">
        <f t="shared" si="159"/>
        <v>12298.048377180789</v>
      </c>
      <c r="T134" s="8">
        <f t="shared" si="160"/>
        <v>28207.308844271807</v>
      </c>
      <c r="AG134">
        <v>2008</v>
      </c>
      <c r="AH134">
        <v>10</v>
      </c>
      <c r="AI134" s="51">
        <v>220.41542521491644</v>
      </c>
      <c r="AJ134" s="51">
        <v>0</v>
      </c>
      <c r="AK134">
        <f>AG134</f>
        <v>2008</v>
      </c>
      <c r="AL134" s="8">
        <f>SUM(AI131:AI134)</f>
        <v>14041.042824413627</v>
      </c>
      <c r="AM134" s="8">
        <f>SUM(AJ123:AJ134)</f>
        <v>0</v>
      </c>
      <c r="CB134" s="15"/>
      <c r="CC134" s="15"/>
      <c r="CD134" s="15"/>
      <c r="CE134" s="8"/>
      <c r="CF134" s="10"/>
      <c r="CG134" s="8"/>
      <c r="CH134" s="8"/>
      <c r="CK134" s="15"/>
      <c r="CL134" s="15"/>
      <c r="CM134" s="15"/>
      <c r="CN134" s="15"/>
      <c r="CO134" s="8">
        <v>979.82867075800903</v>
      </c>
      <c r="CP134" s="8">
        <v>268.1424357426817</v>
      </c>
      <c r="CQ134" s="56">
        <v>39814</v>
      </c>
      <c r="CR134" s="8">
        <v>1258.6583386433776</v>
      </c>
      <c r="CS134" s="8">
        <v>4192.8488764762888</v>
      </c>
      <c r="CT134" s="8">
        <v>0</v>
      </c>
      <c r="CU134" s="8">
        <v>1910.2</v>
      </c>
    </row>
    <row r="135" spans="1:105" x14ac:dyDescent="0.25">
      <c r="A135" s="56">
        <v>36404</v>
      </c>
      <c r="B135" s="8">
        <v>0</v>
      </c>
      <c r="C135" s="8">
        <v>18657.477874054013</v>
      </c>
      <c r="D135" s="8">
        <v>1637.9181031227108</v>
      </c>
      <c r="E135" s="8">
        <v>0</v>
      </c>
      <c r="L135" s="38">
        <v>2004</v>
      </c>
      <c r="M135" s="8">
        <f t="shared" si="156"/>
        <v>4378.3266451239597</v>
      </c>
      <c r="N135" s="8">
        <f t="shared" si="157"/>
        <v>65020.776652191955</v>
      </c>
      <c r="O135" s="11">
        <v>0</v>
      </c>
      <c r="Q135" s="38">
        <v>2004</v>
      </c>
      <c r="R135" s="8">
        <f t="shared" si="158"/>
        <v>32353.467621365206</v>
      </c>
      <c r="S135" s="8">
        <f t="shared" si="159"/>
        <v>30543.090181557007</v>
      </c>
      <c r="T135" s="8">
        <f t="shared" si="160"/>
        <v>29437.675282191671</v>
      </c>
      <c r="AG135">
        <v>2008</v>
      </c>
      <c r="AH135">
        <v>11</v>
      </c>
      <c r="AI135" s="51">
        <v>18479.668702077819</v>
      </c>
      <c r="AJ135" s="51">
        <v>0</v>
      </c>
      <c r="CB135" s="15"/>
      <c r="CC135" s="15"/>
      <c r="CD135" s="15"/>
      <c r="CE135" s="8"/>
      <c r="CF135" s="8"/>
      <c r="CG135" s="8"/>
      <c r="CK135" s="15"/>
      <c r="CL135" s="15"/>
      <c r="CM135" s="15"/>
      <c r="CN135" s="15"/>
      <c r="CO135" s="8">
        <v>374.87230671644221</v>
      </c>
      <c r="CP135" s="8">
        <v>212.11720777629549</v>
      </c>
      <c r="CQ135" s="56">
        <v>39845</v>
      </c>
      <c r="CR135" s="8">
        <v>414.05977205035754</v>
      </c>
      <c r="CS135" s="8">
        <v>4818.8115744637344</v>
      </c>
      <c r="CT135" s="8">
        <v>0</v>
      </c>
      <c r="CU135" s="8">
        <v>2739.2</v>
      </c>
    </row>
    <row r="136" spans="1:105" x14ac:dyDescent="0.25">
      <c r="A136" s="56">
        <v>36434</v>
      </c>
      <c r="B136" s="8">
        <v>1025.729316711426</v>
      </c>
      <c r="C136" s="8">
        <v>3638.4167147636417</v>
      </c>
      <c r="D136" s="8">
        <v>24317.725664792953</v>
      </c>
      <c r="E136" s="8">
        <v>0</v>
      </c>
      <c r="L136" s="38">
        <v>2005</v>
      </c>
      <c r="M136" s="8">
        <f t="shared" si="156"/>
        <v>1976.405648416282</v>
      </c>
      <c r="N136" s="8">
        <f t="shared" si="157"/>
        <v>99819.623227760458</v>
      </c>
      <c r="O136" s="11">
        <v>0</v>
      </c>
      <c r="Q136" s="38">
        <v>2005</v>
      </c>
      <c r="R136" s="8">
        <f t="shared" si="158"/>
        <v>41102.269283489004</v>
      </c>
      <c r="S136" s="8">
        <f t="shared" si="159"/>
        <v>42977.931357470879</v>
      </c>
      <c r="T136" s="8">
        <f t="shared" si="160"/>
        <v>41368.103623214003</v>
      </c>
      <c r="AG136">
        <v>2008</v>
      </c>
      <c r="AH136">
        <v>12</v>
      </c>
      <c r="AI136" s="51">
        <v>10757.288790557066</v>
      </c>
      <c r="AJ136" s="51">
        <v>0</v>
      </c>
      <c r="CB136" s="15"/>
      <c r="CC136" s="15"/>
      <c r="CD136" s="15"/>
      <c r="CE136" s="8"/>
      <c r="CF136" s="8"/>
      <c r="CG136" s="8"/>
      <c r="CK136" s="15"/>
      <c r="CL136" s="15"/>
      <c r="CM136" s="15"/>
      <c r="CN136" s="15"/>
      <c r="CO136" s="8">
        <v>28.678843528032317</v>
      </c>
      <c r="CP136" s="8">
        <v>0</v>
      </c>
      <c r="CQ136" s="56">
        <v>39873</v>
      </c>
      <c r="CR136" s="8">
        <v>150.88333714008328</v>
      </c>
      <c r="CS136" s="8">
        <v>5066.6044998168945</v>
      </c>
      <c r="CT136" s="8">
        <v>0</v>
      </c>
      <c r="CU136" s="8">
        <v>357.72</v>
      </c>
    </row>
    <row r="137" spans="1:105" x14ac:dyDescent="0.25">
      <c r="A137" s="56">
        <v>36465</v>
      </c>
      <c r="B137" s="8">
        <v>1124.7963180541992</v>
      </c>
      <c r="C137" s="8">
        <v>15565.31629514694</v>
      </c>
      <c r="D137" s="8">
        <v>9570.0058955837067</v>
      </c>
      <c r="E137" s="8">
        <v>0</v>
      </c>
      <c r="F137" s="56">
        <f>A137</f>
        <v>36465</v>
      </c>
      <c r="G137" s="8">
        <f>SUM(B133:B141)</f>
        <v>8939.6341514587402</v>
      </c>
      <c r="H137" s="8">
        <f>SUM(C133:C137)</f>
        <v>39159.906881298128</v>
      </c>
      <c r="I137" s="8">
        <f>SUM(D126:D137)</f>
        <v>47953.362810304214</v>
      </c>
      <c r="J137" s="8">
        <f>SUM(E125:E136)</f>
        <v>0</v>
      </c>
      <c r="L137" s="38">
        <v>2006</v>
      </c>
      <c r="M137" s="8">
        <f t="shared" si="156"/>
        <v>13602.765342816712</v>
      </c>
      <c r="N137" s="8">
        <f t="shared" si="157"/>
        <v>6313.920187063145</v>
      </c>
      <c r="O137" s="11">
        <v>0</v>
      </c>
      <c r="Q137" s="38">
        <v>2006</v>
      </c>
      <c r="R137" s="8">
        <f t="shared" si="158"/>
        <v>17694.962575903759</v>
      </c>
      <c r="S137" s="8">
        <f t="shared" si="159"/>
        <v>13828.88220769914</v>
      </c>
      <c r="T137" s="8">
        <f t="shared" si="160"/>
        <v>13479.379356294803</v>
      </c>
      <c r="AG137">
        <v>2009</v>
      </c>
      <c r="AH137">
        <v>1</v>
      </c>
      <c r="AI137" s="51">
        <v>26696.107439368967</v>
      </c>
      <c r="AJ137" s="51">
        <v>0</v>
      </c>
      <c r="CB137" s="15"/>
      <c r="CC137" s="15"/>
      <c r="CD137" s="15"/>
      <c r="CE137" s="8"/>
      <c r="CF137" s="8"/>
      <c r="CG137" s="8"/>
      <c r="CK137" s="15"/>
      <c r="CL137" s="15"/>
      <c r="CM137" s="15"/>
      <c r="CN137" s="15"/>
      <c r="CO137" s="8">
        <v>20.835027220658951</v>
      </c>
      <c r="CP137" s="8">
        <v>0</v>
      </c>
      <c r="CQ137" s="56">
        <v>39904</v>
      </c>
      <c r="CR137" s="8">
        <v>0</v>
      </c>
      <c r="CS137" s="8">
        <v>0</v>
      </c>
      <c r="CT137" s="8">
        <v>0</v>
      </c>
      <c r="CU137" s="8">
        <v>0</v>
      </c>
    </row>
    <row r="138" spans="1:105" x14ac:dyDescent="0.25">
      <c r="A138" s="56">
        <v>36495</v>
      </c>
      <c r="B138" s="8">
        <v>1622.8256874084475</v>
      </c>
      <c r="C138" s="8">
        <v>57357.586713552475</v>
      </c>
      <c r="D138" s="8">
        <v>571.1470701217653</v>
      </c>
      <c r="E138" s="8">
        <v>0</v>
      </c>
      <c r="L138" s="38">
        <v>2007</v>
      </c>
      <c r="M138" s="8">
        <f t="shared" si="156"/>
        <v>5888.466189877131</v>
      </c>
      <c r="N138" s="8">
        <f t="shared" si="157"/>
        <v>5047.5288695052341</v>
      </c>
      <c r="O138" s="11">
        <v>0</v>
      </c>
      <c r="Q138" s="38">
        <v>2007</v>
      </c>
      <c r="R138" s="8">
        <f t="shared" si="158"/>
        <v>1952.5821973580714</v>
      </c>
      <c r="S138" s="8">
        <f t="shared" si="159"/>
        <v>6945.0161042887466</v>
      </c>
      <c r="T138" s="8">
        <f t="shared" si="160"/>
        <v>6757.2390198062094</v>
      </c>
      <c r="AG138">
        <v>2009</v>
      </c>
      <c r="AH138">
        <v>2</v>
      </c>
      <c r="AI138" s="51">
        <v>13671.237486190053</v>
      </c>
      <c r="AJ138" s="51">
        <v>0</v>
      </c>
      <c r="CB138" s="15"/>
      <c r="CC138" s="15"/>
      <c r="CD138" s="15"/>
      <c r="CE138" s="8"/>
      <c r="CF138" s="8"/>
      <c r="CG138" s="8"/>
      <c r="CK138" s="15"/>
      <c r="CL138" s="15"/>
      <c r="CM138" s="15"/>
      <c r="CN138" s="15"/>
      <c r="CO138" s="8">
        <v>31.290253936499358</v>
      </c>
      <c r="CP138" s="8">
        <v>0</v>
      </c>
      <c r="CQ138" s="56">
        <v>39934</v>
      </c>
      <c r="CR138" s="8">
        <v>0</v>
      </c>
      <c r="CS138" s="8">
        <v>0</v>
      </c>
      <c r="CT138" s="8">
        <v>0</v>
      </c>
      <c r="CU138" s="8">
        <v>446.17</v>
      </c>
    </row>
    <row r="139" spans="1:105" x14ac:dyDescent="0.25">
      <c r="A139" s="56">
        <v>36526</v>
      </c>
      <c r="B139" s="8">
        <v>2193.5524673461914</v>
      </c>
      <c r="C139" s="8">
        <v>103594.22747206998</v>
      </c>
      <c r="D139" s="8">
        <v>137.77033977508552</v>
      </c>
      <c r="E139" s="8">
        <v>0</v>
      </c>
      <c r="L139" s="38">
        <v>2008</v>
      </c>
      <c r="M139" s="8">
        <f t="shared" si="156"/>
        <v>9674.3081238985069</v>
      </c>
      <c r="N139" s="8">
        <f t="shared" si="157"/>
        <v>28889.968985413776</v>
      </c>
      <c r="O139" s="11">
        <v>0</v>
      </c>
      <c r="Q139" s="38">
        <v>2008</v>
      </c>
      <c r="R139" s="8">
        <f t="shared" si="158"/>
        <v>17150.545030868219</v>
      </c>
      <c r="S139" s="8">
        <f t="shared" si="159"/>
        <v>19942.224678401592</v>
      </c>
      <c r="T139" s="8">
        <f t="shared" si="160"/>
        <v>19309.035859152067</v>
      </c>
      <c r="AG139">
        <v>2009</v>
      </c>
      <c r="AH139">
        <v>3</v>
      </c>
      <c r="AI139" s="51">
        <v>655.04466933011952</v>
      </c>
      <c r="AJ139" s="51">
        <v>0</v>
      </c>
      <c r="AO139">
        <f>AG134</f>
        <v>2008</v>
      </c>
      <c r="AP139" s="8">
        <f>SUM(AI135:AI139)</f>
        <v>70259.347087524016</v>
      </c>
      <c r="AQ139" s="8">
        <f>SUM(AJ135:AJ139)</f>
        <v>0</v>
      </c>
      <c r="CB139" s="15"/>
      <c r="CC139" s="15"/>
      <c r="CD139" s="15"/>
      <c r="CE139" s="8"/>
      <c r="CF139" s="8"/>
      <c r="CG139" s="8"/>
      <c r="CK139" s="15"/>
      <c r="CL139" s="15"/>
      <c r="CM139" s="15"/>
      <c r="CN139" s="15"/>
      <c r="CO139" s="8">
        <v>6.2201517760753617</v>
      </c>
      <c r="CP139" s="8">
        <v>0</v>
      </c>
      <c r="CQ139" s="56">
        <v>39965</v>
      </c>
      <c r="CR139" s="8">
        <v>0</v>
      </c>
      <c r="CS139" s="8">
        <v>6175.3147277832049</v>
      </c>
      <c r="CT139" s="8">
        <v>0</v>
      </c>
      <c r="CU139" s="8">
        <v>54.103999999999999</v>
      </c>
    </row>
    <row r="140" spans="1:105" x14ac:dyDescent="0.25">
      <c r="A140" s="56">
        <v>36557</v>
      </c>
      <c r="B140" s="8">
        <v>1880.5381011962895</v>
      </c>
      <c r="C140" s="8">
        <v>69461.59221553801</v>
      </c>
      <c r="D140" s="8">
        <v>92.67268371582027</v>
      </c>
      <c r="E140" s="8">
        <v>0</v>
      </c>
      <c r="L140" s="38">
        <v>2009</v>
      </c>
      <c r="M140" s="8">
        <f t="shared" si="156"/>
        <v>3479.386893323438</v>
      </c>
      <c r="N140" s="8">
        <f t="shared" si="157"/>
        <v>10269.361574818287</v>
      </c>
      <c r="O140" s="11">
        <v>0</v>
      </c>
      <c r="Q140" s="38">
        <v>2009</v>
      </c>
      <c r="R140" s="8">
        <f t="shared" si="158"/>
        <v>14198.936765237177</v>
      </c>
      <c r="S140" s="8">
        <f t="shared" si="159"/>
        <v>7122.1517995091563</v>
      </c>
      <c r="T140" s="8">
        <f t="shared" si="160"/>
        <v>6896.331094240888</v>
      </c>
      <c r="AG140">
        <v>2009</v>
      </c>
      <c r="AH140">
        <v>4</v>
      </c>
      <c r="AI140" s="51">
        <v>416.532678183168</v>
      </c>
      <c r="AJ140" s="51">
        <v>0</v>
      </c>
      <c r="CB140" s="15"/>
      <c r="CC140" s="15"/>
      <c r="CD140" s="15"/>
      <c r="CE140" s="8"/>
      <c r="CF140" s="8"/>
      <c r="CG140" s="8"/>
      <c r="CK140" s="15"/>
      <c r="CL140" s="15"/>
      <c r="CM140" s="15"/>
      <c r="CN140" s="15"/>
      <c r="CO140" s="8">
        <v>51.338130396604527</v>
      </c>
      <c r="CP140" s="8">
        <v>0</v>
      </c>
      <c r="CQ140" s="56">
        <v>39995</v>
      </c>
      <c r="CR140" s="8">
        <v>0</v>
      </c>
      <c r="CS140" s="8">
        <v>0</v>
      </c>
      <c r="CT140" s="8">
        <v>0</v>
      </c>
      <c r="CU140" s="8">
        <v>3.1425999999999998</v>
      </c>
    </row>
    <row r="141" spans="1:105" x14ac:dyDescent="0.25">
      <c r="A141" s="56">
        <v>36586</v>
      </c>
      <c r="B141" s="8">
        <v>1092.1922607421877</v>
      </c>
      <c r="C141" s="8">
        <v>8642.1039629936258</v>
      </c>
      <c r="D141" s="8">
        <v>5586.4659848774754</v>
      </c>
      <c r="E141" s="8">
        <v>0</v>
      </c>
      <c r="L141" s="38">
        <v>2010</v>
      </c>
      <c r="M141" s="8">
        <f t="shared" si="156"/>
        <v>383.41050405502324</v>
      </c>
      <c r="N141" s="8">
        <f t="shared" si="157"/>
        <v>77537.191778643377</v>
      </c>
      <c r="O141" s="11">
        <v>0</v>
      </c>
      <c r="Q141" s="38">
        <v>2010</v>
      </c>
      <c r="R141" s="8">
        <f t="shared" si="158"/>
        <v>35564.329132414023</v>
      </c>
      <c r="S141" s="8">
        <f t="shared" si="159"/>
        <v>32434.605012150601</v>
      </c>
      <c r="T141" s="8">
        <f t="shared" si="160"/>
        <v>31205.300612378236</v>
      </c>
      <c r="AG141">
        <v>2009</v>
      </c>
      <c r="AH141">
        <v>5</v>
      </c>
      <c r="AI141" s="51">
        <v>1132.6175189018252</v>
      </c>
      <c r="AJ141" s="51">
        <v>0</v>
      </c>
      <c r="CB141" s="15"/>
      <c r="CC141" s="15"/>
      <c r="CD141" s="15"/>
      <c r="CE141" s="8"/>
      <c r="CF141" s="8"/>
      <c r="CG141" s="8"/>
      <c r="CK141" s="15"/>
      <c r="CL141" s="15"/>
      <c r="CM141" s="15"/>
      <c r="CN141" s="15"/>
      <c r="CO141" s="8">
        <v>60.543441045284276</v>
      </c>
      <c r="CP141" s="8">
        <v>0</v>
      </c>
      <c r="CQ141" s="56">
        <v>40026</v>
      </c>
      <c r="CR141" s="8">
        <v>36.426439285278335</v>
      </c>
      <c r="CS141" s="8">
        <v>0</v>
      </c>
      <c r="CT141" s="8">
        <v>0</v>
      </c>
      <c r="CU141" s="8">
        <v>0</v>
      </c>
    </row>
    <row r="142" spans="1:105" x14ac:dyDescent="0.25">
      <c r="A142" s="56">
        <v>36617</v>
      </c>
      <c r="B142" s="8">
        <v>0</v>
      </c>
      <c r="C142" s="8">
        <v>29.593469095230105</v>
      </c>
      <c r="D142" s="8">
        <v>0</v>
      </c>
      <c r="E142" s="8">
        <v>0</v>
      </c>
      <c r="L142" s="38">
        <v>2011</v>
      </c>
      <c r="M142" s="8">
        <f t="shared" si="156"/>
        <v>24671.779767202221</v>
      </c>
      <c r="N142" s="8">
        <f t="shared" si="157"/>
        <v>47493.317803464008</v>
      </c>
      <c r="O142" s="11">
        <v>0</v>
      </c>
      <c r="Q142" s="38">
        <v>2011</v>
      </c>
      <c r="R142" s="8">
        <f t="shared" si="158"/>
        <v>39351.362776036265</v>
      </c>
      <c r="S142" s="8">
        <f t="shared" si="159"/>
        <v>40011.532338279874</v>
      </c>
      <c r="T142" s="8">
        <f t="shared" si="160"/>
        <v>38809.486056766975</v>
      </c>
      <c r="AG142">
        <v>2009</v>
      </c>
      <c r="AH142">
        <v>6</v>
      </c>
      <c r="AI142" s="51">
        <v>124.40303552150723</v>
      </c>
      <c r="AJ142" s="51">
        <v>0</v>
      </c>
      <c r="CB142" s="15"/>
      <c r="CC142" s="15"/>
      <c r="CD142" s="15"/>
      <c r="CE142" s="8"/>
      <c r="CF142" s="8"/>
      <c r="CG142" s="8"/>
      <c r="CK142" s="15"/>
      <c r="CL142" s="15"/>
      <c r="CM142" s="15"/>
      <c r="CN142" s="15"/>
      <c r="CO142" s="8">
        <v>105.57862592695756</v>
      </c>
      <c r="CP142" s="8">
        <v>0</v>
      </c>
      <c r="CQ142" s="56">
        <v>40057</v>
      </c>
      <c r="CR142" s="8">
        <v>92.664964329916913</v>
      </c>
      <c r="CS142" s="8">
        <v>0</v>
      </c>
      <c r="CT142" s="8">
        <v>0</v>
      </c>
      <c r="CU142" s="8">
        <v>0</v>
      </c>
    </row>
    <row r="143" spans="1:105" x14ac:dyDescent="0.25">
      <c r="A143" s="56">
        <v>36647</v>
      </c>
      <c r="B143" s="8">
        <v>0</v>
      </c>
      <c r="C143" s="8">
        <v>107.35104432106021</v>
      </c>
      <c r="D143" s="8">
        <v>0</v>
      </c>
      <c r="E143" s="8">
        <v>0</v>
      </c>
      <c r="L143" s="38">
        <v>2012</v>
      </c>
      <c r="M143" s="8">
        <f t="shared" si="156"/>
        <v>28997.882210839351</v>
      </c>
      <c r="N143" s="8">
        <f t="shared" si="157"/>
        <v>87815.989916434541</v>
      </c>
      <c r="O143" s="11">
        <v>0</v>
      </c>
      <c r="Q143" s="38">
        <v>2012</v>
      </c>
      <c r="R143" s="8">
        <f t="shared" si="158"/>
        <v>44996.820894964243</v>
      </c>
      <c r="S143" s="8">
        <f t="shared" si="159"/>
        <v>60280.777045874027</v>
      </c>
      <c r="T143" s="8">
        <f t="shared" si="160"/>
        <v>58363.60448455235</v>
      </c>
      <c r="AG143">
        <v>2009</v>
      </c>
      <c r="AH143">
        <v>7</v>
      </c>
      <c r="AI143" s="51">
        <v>1291.4901509799529</v>
      </c>
      <c r="AJ143" s="51">
        <v>0</v>
      </c>
      <c r="CB143" s="15"/>
      <c r="CC143" s="15"/>
      <c r="CD143" s="15"/>
      <c r="CE143" s="8"/>
      <c r="CF143" s="8"/>
      <c r="CG143" s="8"/>
      <c r="CK143" s="15"/>
      <c r="CL143" s="15"/>
      <c r="CM143" s="15"/>
      <c r="CN143" s="15"/>
      <c r="CO143" s="8">
        <v>1.4834638684988E-3</v>
      </c>
      <c r="CP143" s="8">
        <v>0</v>
      </c>
      <c r="CQ143" s="56">
        <v>40087</v>
      </c>
      <c r="CR143" s="8">
        <v>0</v>
      </c>
      <c r="CS143" s="8">
        <v>0</v>
      </c>
      <c r="CT143" s="8">
        <v>0</v>
      </c>
      <c r="CU143" s="8">
        <v>0</v>
      </c>
    </row>
    <row r="144" spans="1:105" x14ac:dyDescent="0.25">
      <c r="A144" s="56">
        <v>36678</v>
      </c>
      <c r="B144" s="8">
        <v>0</v>
      </c>
      <c r="C144" s="8">
        <v>310.01074385643011</v>
      </c>
      <c r="D144" s="8">
        <v>0</v>
      </c>
      <c r="E144" s="8">
        <v>0</v>
      </c>
      <c r="L144" s="38">
        <v>2013</v>
      </c>
      <c r="M144" s="8">
        <f t="shared" si="156"/>
        <v>65662.919150409114</v>
      </c>
      <c r="N144" s="8">
        <f t="shared" si="157"/>
        <v>38959.660213903044</v>
      </c>
      <c r="O144" s="11">
        <v>0</v>
      </c>
      <c r="Q144" s="38">
        <v>2013</v>
      </c>
      <c r="R144" s="8">
        <f t="shared" si="158"/>
        <v>46135.295892822811</v>
      </c>
      <c r="S144" s="8">
        <f t="shared" si="159"/>
        <v>70267.653760861009</v>
      </c>
      <c r="T144" s="8">
        <f t="shared" si="160"/>
        <v>68446.848011699112</v>
      </c>
      <c r="AG144">
        <v>2009</v>
      </c>
      <c r="AH144">
        <v>8</v>
      </c>
      <c r="AI144" s="51">
        <v>1133.5922238940839</v>
      </c>
      <c r="AJ144" s="51">
        <v>0</v>
      </c>
      <c r="CB144" s="15"/>
      <c r="CC144" s="15"/>
      <c r="CD144" s="15"/>
      <c r="CE144" s="8"/>
      <c r="CF144" s="8"/>
      <c r="CG144" s="8"/>
      <c r="CK144" s="15"/>
      <c r="CL144" s="15"/>
      <c r="CM144" s="15"/>
      <c r="CN144" s="15"/>
      <c r="CO144" s="8">
        <v>0</v>
      </c>
      <c r="CP144" s="8">
        <v>0</v>
      </c>
      <c r="CQ144" s="56">
        <v>40118</v>
      </c>
      <c r="CR144" s="8">
        <v>0</v>
      </c>
      <c r="CS144" s="8">
        <v>0</v>
      </c>
      <c r="CT144" s="8">
        <v>0</v>
      </c>
      <c r="CU144" s="8">
        <v>0</v>
      </c>
      <c r="CV144" s="56">
        <f>CQ144</f>
        <v>40118</v>
      </c>
      <c r="CW144" s="8">
        <f>SUM(CR140:CR148)+SUM(CO140:CO148)</f>
        <v>359.00099357303702</v>
      </c>
      <c r="CX144" s="8">
        <f>SUM(CS132:CS143)+SUM(CP132:CP143)</f>
        <v>28084.265464135973</v>
      </c>
      <c r="CY144" s="8">
        <f t="shared" ref="CY144" si="164">SUM(CT132:CT143)</f>
        <v>0</v>
      </c>
      <c r="CZ144" s="8">
        <f>SUM(CU132:CU143)</f>
        <v>8502.5765999999985</v>
      </c>
    </row>
    <row r="145" spans="1:105" x14ac:dyDescent="0.25">
      <c r="A145" s="56">
        <v>36708</v>
      </c>
      <c r="B145" s="8">
        <v>0</v>
      </c>
      <c r="C145" s="8">
        <v>529.3447121620178</v>
      </c>
      <c r="D145" s="8">
        <v>0</v>
      </c>
      <c r="E145" s="8">
        <v>0</v>
      </c>
      <c r="M145" s="23" t="s">
        <v>598</v>
      </c>
      <c r="N145" s="23" t="s">
        <v>498</v>
      </c>
      <c r="O145" s="23" t="s">
        <v>250</v>
      </c>
      <c r="Q145" s="24" t="s">
        <v>498</v>
      </c>
      <c r="R145" s="24" t="s">
        <v>250</v>
      </c>
      <c r="AG145">
        <v>2009</v>
      </c>
      <c r="AH145">
        <v>9</v>
      </c>
      <c r="AI145" s="51">
        <v>2252.0499842800191</v>
      </c>
      <c r="AJ145" s="51">
        <v>0</v>
      </c>
      <c r="CB145" s="15"/>
      <c r="CC145" s="15"/>
      <c r="CD145" s="15"/>
      <c r="CE145" s="8"/>
      <c r="CF145" s="8"/>
      <c r="CG145" s="8"/>
      <c r="CK145" s="15"/>
      <c r="CL145" s="15"/>
      <c r="CM145" s="15"/>
      <c r="CN145" s="15"/>
      <c r="CO145" s="8">
        <v>0</v>
      </c>
      <c r="CP145" s="8">
        <v>0</v>
      </c>
      <c r="CQ145" s="56">
        <v>40148</v>
      </c>
      <c r="CR145" s="8">
        <v>0</v>
      </c>
      <c r="CS145" s="8">
        <v>140</v>
      </c>
      <c r="CT145" s="8">
        <v>0</v>
      </c>
      <c r="CU145" s="8">
        <v>0</v>
      </c>
      <c r="CW145" s="8"/>
      <c r="CX145" s="8">
        <f>SUM(CS132:CS136)+SUM(CP132:CP136)</f>
        <v>21908.95073635277</v>
      </c>
      <c r="CY145" s="8">
        <f t="shared" ref="CY145" si="165">SUM(CT132:CT136)</f>
        <v>0</v>
      </c>
      <c r="CZ145" s="8">
        <f t="shared" ref="CZ145" si="166">SUM(CU132:CU136)</f>
        <v>7999.16</v>
      </c>
      <c r="DA145" s="8">
        <f>SUM(CX145:CZ145)</f>
        <v>29908.11073635277</v>
      </c>
    </row>
    <row r="146" spans="1:105" x14ac:dyDescent="0.25">
      <c r="A146" s="56">
        <v>36739</v>
      </c>
      <c r="B146" s="8">
        <v>0</v>
      </c>
      <c r="C146" s="8">
        <v>770.27538417577739</v>
      </c>
      <c r="D146" s="8">
        <v>49.036268615722648</v>
      </c>
      <c r="E146" s="8">
        <v>0</v>
      </c>
      <c r="M146">
        <f t="array" ref="M146:O150">LINEST(R130:R141,M130:O141,0,1)</f>
        <v>-16886.603927342494</v>
      </c>
      <c r="N146">
        <v>0.41423399227473662</v>
      </c>
      <c r="O146">
        <v>0.82435016403701078</v>
      </c>
      <c r="Q146">
        <f t="array" ref="Q146:S150">LINEST(R130:R141,M130:N141,0,1)</f>
        <v>0.39847047839984323</v>
      </c>
      <c r="R146">
        <v>0.8059735121849223</v>
      </c>
      <c r="S146">
        <v>0</v>
      </c>
      <c r="AG146">
        <v>2009</v>
      </c>
      <c r="AH146">
        <v>10</v>
      </c>
      <c r="AI146" s="51">
        <v>2.8738141059875499E-2</v>
      </c>
      <c r="AJ146" s="51">
        <v>0</v>
      </c>
      <c r="AK146">
        <f>AG146</f>
        <v>2009</v>
      </c>
      <c r="AL146" s="8">
        <f>SUM(AI143:AI146)</f>
        <v>4677.1610972951157</v>
      </c>
      <c r="AM146" s="8">
        <f>SUM(AJ135:AJ146)</f>
        <v>0</v>
      </c>
      <c r="CB146" s="15"/>
      <c r="CC146" s="15"/>
      <c r="CD146" s="15"/>
      <c r="CE146" s="8"/>
      <c r="CF146" s="10"/>
      <c r="CG146" s="8"/>
      <c r="CH146" s="8"/>
      <c r="CK146" s="15"/>
      <c r="CL146" s="15"/>
      <c r="CM146" s="15"/>
      <c r="CN146" s="15"/>
      <c r="CO146" s="8">
        <v>4.9351463699713385</v>
      </c>
      <c r="CP146" s="8">
        <v>211.17977273222061</v>
      </c>
      <c r="CQ146" s="56">
        <v>40179</v>
      </c>
      <c r="CR146" s="8">
        <v>4.70123243331909</v>
      </c>
      <c r="CS146" s="8">
        <v>6091.8114137649545</v>
      </c>
      <c r="CT146" s="8">
        <v>0</v>
      </c>
      <c r="CU146" s="8">
        <v>6159.5</v>
      </c>
    </row>
    <row r="147" spans="1:105" x14ac:dyDescent="0.25">
      <c r="A147" s="56">
        <v>36770</v>
      </c>
      <c r="B147" s="8">
        <v>0</v>
      </c>
      <c r="C147" s="8">
        <v>17944.671856069566</v>
      </c>
      <c r="D147" s="8">
        <v>394.92139072418229</v>
      </c>
      <c r="E147" s="8">
        <v>0</v>
      </c>
      <c r="L147" t="s">
        <v>545</v>
      </c>
      <c r="M147">
        <v>4443.1967768024033</v>
      </c>
      <c r="N147">
        <v>2.3751620333417784E-2</v>
      </c>
      <c r="O147">
        <v>8.2208480166712644E-2</v>
      </c>
      <c r="Q147">
        <v>3.5808492087835618E-2</v>
      </c>
      <c r="R147">
        <v>0.12565559524335759</v>
      </c>
      <c r="S147" t="e">
        <v>#N/A</v>
      </c>
      <c r="U147" t="s">
        <v>545</v>
      </c>
      <c r="AG147">
        <v>2009</v>
      </c>
      <c r="AH147">
        <v>11</v>
      </c>
      <c r="AI147" s="51">
        <v>0</v>
      </c>
      <c r="AJ147" s="51">
        <v>0</v>
      </c>
      <c r="CB147" s="15"/>
      <c r="CC147" s="15"/>
      <c r="CD147" s="15"/>
      <c r="CE147" s="8"/>
      <c r="CF147" s="8"/>
      <c r="CG147" s="8"/>
      <c r="CK147" s="15"/>
      <c r="CL147" s="15"/>
      <c r="CM147" s="15"/>
      <c r="CN147" s="15"/>
      <c r="CO147" s="8">
        <v>0</v>
      </c>
      <c r="CP147" s="8">
        <v>0</v>
      </c>
      <c r="CQ147" s="56">
        <v>40210</v>
      </c>
      <c r="CR147" s="8">
        <v>2.8115303218364702</v>
      </c>
      <c r="CS147" s="8">
        <v>2252.2633323669429</v>
      </c>
      <c r="CT147" s="8">
        <v>0</v>
      </c>
      <c r="CU147" s="8">
        <v>1679.7</v>
      </c>
    </row>
    <row r="148" spans="1:105" x14ac:dyDescent="0.25">
      <c r="A148" s="56">
        <v>36800</v>
      </c>
      <c r="B148" s="8">
        <v>774.53611755371128</v>
      </c>
      <c r="C148" s="8">
        <v>6766.1953188598172</v>
      </c>
      <c r="D148" s="8">
        <v>831.70687503814668</v>
      </c>
      <c r="E148" s="8">
        <v>0</v>
      </c>
      <c r="L148">
        <f>1-(((1-M148)*(10))/(8))</f>
        <v>0.98547498182831894</v>
      </c>
      <c r="M148">
        <v>0.98837998546265515</v>
      </c>
      <c r="N148">
        <v>4312.7013510100705</v>
      </c>
      <c r="O148" t="e">
        <v>#N/A</v>
      </c>
      <c r="Q148">
        <v>0.96973089302553905</v>
      </c>
      <c r="R148">
        <v>6603.3924370109235</v>
      </c>
      <c r="S148" t="e">
        <v>#N/A</v>
      </c>
      <c r="U148">
        <f>1-(((1-Q148)*(11))/(9))</f>
        <v>0.96300442480899218</v>
      </c>
      <c r="AG148">
        <v>2009</v>
      </c>
      <c r="AH148">
        <v>12</v>
      </c>
      <c r="AI148" s="51">
        <v>0</v>
      </c>
      <c r="AJ148" s="51">
        <v>0</v>
      </c>
      <c r="CB148" s="15"/>
      <c r="CC148" s="15"/>
      <c r="CD148" s="15"/>
      <c r="CE148" s="8"/>
      <c r="CF148" s="8"/>
      <c r="CG148" s="8"/>
      <c r="CK148" s="15"/>
      <c r="CL148" s="15"/>
      <c r="CM148" s="15"/>
      <c r="CN148" s="15"/>
      <c r="CO148" s="8">
        <v>0</v>
      </c>
      <c r="CP148" s="8">
        <v>0</v>
      </c>
      <c r="CQ148" s="56">
        <v>40238</v>
      </c>
      <c r="CR148" s="8">
        <v>0</v>
      </c>
      <c r="CS148" s="8">
        <v>9500</v>
      </c>
      <c r="CT148" s="8">
        <v>0</v>
      </c>
      <c r="CU148" s="8">
        <v>4683.8</v>
      </c>
    </row>
    <row r="149" spans="1:105" x14ac:dyDescent="0.25">
      <c r="A149" s="56">
        <v>36831</v>
      </c>
      <c r="B149" s="8">
        <v>405.8278465270995</v>
      </c>
      <c r="C149" s="8">
        <v>4010.4637375831599</v>
      </c>
      <c r="D149" s="8">
        <v>64654.282473821768</v>
      </c>
      <c r="E149" s="8">
        <v>30643.891210937501</v>
      </c>
      <c r="F149" s="56">
        <f>A149</f>
        <v>36831</v>
      </c>
      <c r="G149" s="8">
        <f>SUM(B145:B153)</f>
        <v>7030.7320518493652</v>
      </c>
      <c r="H149" s="8">
        <f>SUM(C145:C149)</f>
        <v>30020.951008850338</v>
      </c>
      <c r="I149" s="8">
        <f>SUM(D138:D149)</f>
        <v>72318.003086689961</v>
      </c>
      <c r="J149" s="8">
        <f>SUM(E137:E148)</f>
        <v>0</v>
      </c>
      <c r="K149" t="s">
        <v>601</v>
      </c>
      <c r="L149">
        <v>4.26</v>
      </c>
      <c r="M149">
        <v>255.17523638705447</v>
      </c>
      <c r="N149">
        <v>9</v>
      </c>
      <c r="O149" t="e">
        <v>#N/A</v>
      </c>
      <c r="Q149">
        <v>160.18491953590404</v>
      </c>
      <c r="R149">
        <v>10</v>
      </c>
      <c r="S149" t="e">
        <v>#N/A</v>
      </c>
      <c r="AG149">
        <v>2010</v>
      </c>
      <c r="AH149">
        <v>1</v>
      </c>
      <c r="AI149" s="51">
        <v>4240.5502041429327</v>
      </c>
      <c r="AJ149" s="51">
        <v>0</v>
      </c>
      <c r="CB149" s="15"/>
      <c r="CC149" s="15"/>
      <c r="CD149" s="15"/>
      <c r="CE149" s="8"/>
      <c r="CF149" s="8"/>
      <c r="CG149" s="8"/>
      <c r="CK149" s="15"/>
      <c r="CL149" s="15"/>
      <c r="CM149" s="15"/>
      <c r="CN149" s="15"/>
      <c r="CO149" s="8">
        <v>0</v>
      </c>
      <c r="CP149" s="8">
        <v>0</v>
      </c>
      <c r="CQ149" s="56">
        <v>40269</v>
      </c>
      <c r="CR149" s="8">
        <v>0</v>
      </c>
      <c r="CS149" s="8">
        <v>1430.46875</v>
      </c>
      <c r="CT149" s="8">
        <v>0</v>
      </c>
      <c r="CU149" s="8">
        <v>64.2</v>
      </c>
    </row>
    <row r="150" spans="1:105" x14ac:dyDescent="0.25">
      <c r="A150" s="56">
        <v>36861</v>
      </c>
      <c r="B150" s="8">
        <v>1465.7436637878423</v>
      </c>
      <c r="C150" s="8">
        <v>516.02326414585116</v>
      </c>
      <c r="D150" s="8">
        <v>6114.5294794509246</v>
      </c>
      <c r="E150" s="8">
        <v>0</v>
      </c>
      <c r="M150">
        <v>14238313472.660343</v>
      </c>
      <c r="N150">
        <v>167394536.48703676</v>
      </c>
      <c r="O150" t="e">
        <v>#N/A</v>
      </c>
      <c r="Q150">
        <v>13969660092.37565</v>
      </c>
      <c r="R150">
        <v>436047916.7717306</v>
      </c>
      <c r="S150" t="e">
        <v>#N/A</v>
      </c>
      <c r="AG150">
        <v>2010</v>
      </c>
      <c r="AH150">
        <v>2</v>
      </c>
      <c r="AI150" s="51">
        <v>0</v>
      </c>
      <c r="AJ150" s="51">
        <v>0</v>
      </c>
      <c r="CB150" s="15"/>
      <c r="CC150" s="15"/>
      <c r="CD150" s="15"/>
      <c r="CE150" s="8"/>
      <c r="CF150" s="8"/>
      <c r="CG150" s="8"/>
      <c r="CK150" s="15"/>
      <c r="CL150" s="15"/>
      <c r="CM150" s="15"/>
      <c r="CN150" s="15"/>
      <c r="CO150" s="8">
        <v>0</v>
      </c>
      <c r="CP150" s="8">
        <v>0</v>
      </c>
      <c r="CQ150" s="56">
        <v>40299</v>
      </c>
      <c r="CR150" s="8">
        <v>0</v>
      </c>
      <c r="CS150" s="8">
        <v>0</v>
      </c>
      <c r="CT150" s="8">
        <v>0</v>
      </c>
      <c r="CU150" s="8">
        <v>0</v>
      </c>
    </row>
    <row r="151" spans="1:105" x14ac:dyDescent="0.25">
      <c r="A151" s="56">
        <v>36892</v>
      </c>
      <c r="B151" s="8">
        <v>2301.4452095031734</v>
      </c>
      <c r="C151" s="8">
        <v>7339.0749871730841</v>
      </c>
      <c r="D151" s="8">
        <v>1460.0632881164547</v>
      </c>
      <c r="E151" s="8">
        <v>8668.8984375</v>
      </c>
      <c r="AG151">
        <v>2010</v>
      </c>
      <c r="AH151">
        <v>3</v>
      </c>
      <c r="AI151" s="51">
        <v>0</v>
      </c>
      <c r="AJ151" s="51">
        <v>0</v>
      </c>
      <c r="AO151">
        <f>AG146</f>
        <v>2009</v>
      </c>
      <c r="AP151" s="8">
        <f>SUM(AI147:AI151)</f>
        <v>4240.5502041429327</v>
      </c>
      <c r="AQ151" s="8">
        <f>SUM(AJ147:AJ151)</f>
        <v>0</v>
      </c>
      <c r="CB151" s="15"/>
      <c r="CC151" s="15"/>
      <c r="CD151" s="15"/>
      <c r="CE151" s="8"/>
      <c r="CF151" s="8"/>
      <c r="CG151" s="8"/>
      <c r="CK151" s="15"/>
      <c r="CL151" s="15"/>
      <c r="CM151" s="15"/>
      <c r="CN151" s="15"/>
      <c r="CO151" s="8">
        <v>0</v>
      </c>
      <c r="CP151" s="8">
        <v>0</v>
      </c>
      <c r="CQ151" s="56">
        <v>40330</v>
      </c>
      <c r="CR151" s="8">
        <v>0</v>
      </c>
      <c r="CS151" s="8">
        <v>0</v>
      </c>
      <c r="CT151" s="8">
        <v>0</v>
      </c>
      <c r="CU151" s="8">
        <v>132.13999999999999</v>
      </c>
    </row>
    <row r="152" spans="1:105" x14ac:dyDescent="0.25">
      <c r="A152" s="56">
        <v>36923</v>
      </c>
      <c r="B152" s="8">
        <v>688.49298095703136</v>
      </c>
      <c r="C152" s="8">
        <v>79.609549355506928</v>
      </c>
      <c r="D152" s="8">
        <v>29759.801395324619</v>
      </c>
      <c r="E152" s="8">
        <v>10728.456445312506</v>
      </c>
      <c r="M152" s="15">
        <f>-M146/M147</f>
        <v>3.8005527946694113</v>
      </c>
      <c r="N152" s="15">
        <f t="shared" ref="N152:O152" si="167">N146/N147</f>
        <v>17.440241400790764</v>
      </c>
      <c r="O152" s="15">
        <f t="shared" si="167"/>
        <v>10.027556310070327</v>
      </c>
      <c r="Q152" s="15">
        <f>Q146/Q147</f>
        <v>11.127820669533479</v>
      </c>
      <c r="R152" s="15">
        <f>R146/R147</f>
        <v>6.4141474211633058</v>
      </c>
      <c r="AG152">
        <v>2010</v>
      </c>
      <c r="AH152">
        <v>4</v>
      </c>
      <c r="AI152" s="51">
        <v>0</v>
      </c>
      <c r="AJ152" s="51">
        <v>0</v>
      </c>
      <c r="CB152" s="15"/>
      <c r="CC152" s="15"/>
      <c r="CD152" s="15"/>
      <c r="CE152" s="8"/>
      <c r="CF152" s="8"/>
      <c r="CG152" s="8"/>
      <c r="CK152" s="15"/>
      <c r="CL152" s="15"/>
      <c r="CM152" s="15"/>
      <c r="CN152" s="15"/>
      <c r="CO152" s="8">
        <v>0</v>
      </c>
      <c r="CP152" s="8">
        <v>6.6620693773031263</v>
      </c>
      <c r="CQ152" s="56">
        <v>40360</v>
      </c>
      <c r="CR152" s="8">
        <v>0</v>
      </c>
      <c r="CS152" s="8">
        <v>22.013577222824061</v>
      </c>
      <c r="CT152" s="8">
        <v>0</v>
      </c>
      <c r="CU152" s="8">
        <v>4.0601000000000003</v>
      </c>
    </row>
    <row r="153" spans="1:105" x14ac:dyDescent="0.25">
      <c r="A153" s="56">
        <v>36951</v>
      </c>
      <c r="B153" s="8">
        <v>1394.6862335205083</v>
      </c>
      <c r="C153" s="8">
        <v>82.045022177696239</v>
      </c>
      <c r="D153" s="8">
        <v>9129.649155727775</v>
      </c>
      <c r="E153" s="8">
        <v>0</v>
      </c>
      <c r="M153" t="s">
        <v>600</v>
      </c>
      <c r="Q153" t="s">
        <v>595</v>
      </c>
      <c r="AG153">
        <v>2010</v>
      </c>
      <c r="AH153">
        <v>5</v>
      </c>
      <c r="AI153" s="51">
        <v>0</v>
      </c>
      <c r="AJ153" s="51">
        <v>0</v>
      </c>
      <c r="CB153" s="15"/>
      <c r="CC153" s="15"/>
      <c r="CD153" s="15"/>
      <c r="CE153" s="8"/>
      <c r="CF153" s="8"/>
      <c r="CG153" s="8"/>
      <c r="CK153" s="15"/>
      <c r="CL153" s="15"/>
      <c r="CM153" s="15"/>
      <c r="CN153" s="15"/>
      <c r="CO153" s="8">
        <v>0</v>
      </c>
      <c r="CP153" s="8">
        <v>1815.1526146574354</v>
      </c>
      <c r="CQ153" s="56">
        <v>40391</v>
      </c>
      <c r="CR153" s="8">
        <v>0</v>
      </c>
      <c r="CS153" s="8">
        <v>9911.9458938837051</v>
      </c>
      <c r="CT153" s="8">
        <v>0</v>
      </c>
      <c r="CU153" s="8">
        <v>701.33</v>
      </c>
    </row>
    <row r="154" spans="1:105" x14ac:dyDescent="0.25">
      <c r="A154" s="56">
        <v>36982</v>
      </c>
      <c r="B154" s="8">
        <v>0</v>
      </c>
      <c r="C154" s="8">
        <v>25.38197226524354</v>
      </c>
      <c r="D154" s="8">
        <v>2419.6263506714299</v>
      </c>
      <c r="E154" s="8">
        <v>0</v>
      </c>
      <c r="AG154">
        <v>2010</v>
      </c>
      <c r="AH154">
        <v>6</v>
      </c>
      <c r="AI154" s="51">
        <v>0</v>
      </c>
      <c r="AJ154" s="51">
        <v>0</v>
      </c>
      <c r="CB154" s="15"/>
      <c r="CC154" s="15"/>
      <c r="CD154" s="15"/>
      <c r="CE154" s="8"/>
      <c r="CF154" s="8"/>
      <c r="CG154" s="8"/>
      <c r="CK154" s="15"/>
      <c r="CL154" s="15"/>
      <c r="CM154" s="15"/>
      <c r="CN154" s="15"/>
      <c r="CO154" s="8">
        <v>8.3652950108051272</v>
      </c>
      <c r="CP154" s="8">
        <v>1121.1055012295437</v>
      </c>
      <c r="CQ154" s="56">
        <v>40422</v>
      </c>
      <c r="CR154" s="8">
        <v>0</v>
      </c>
      <c r="CS154" s="8">
        <v>11380.738631770015</v>
      </c>
      <c r="CT154" s="8">
        <v>0</v>
      </c>
      <c r="CU154" s="8">
        <v>530.67999999999995</v>
      </c>
    </row>
    <row r="155" spans="1:105" x14ac:dyDescent="0.25">
      <c r="A155" s="56">
        <v>37012</v>
      </c>
      <c r="B155" s="8">
        <v>0</v>
      </c>
      <c r="C155" s="8">
        <v>27.880897378921492</v>
      </c>
      <c r="D155" s="8">
        <v>0</v>
      </c>
      <c r="E155" s="8">
        <v>0</v>
      </c>
      <c r="AG155">
        <v>2010</v>
      </c>
      <c r="AH155">
        <v>7</v>
      </c>
      <c r="AI155" s="51">
        <v>501.04071755986627</v>
      </c>
      <c r="AJ155" s="51">
        <v>0</v>
      </c>
      <c r="CB155" s="15"/>
      <c r="CC155" s="15"/>
      <c r="CD155" s="15"/>
      <c r="CE155" s="8"/>
      <c r="CF155" s="8"/>
      <c r="CG155" s="8"/>
      <c r="CK155" s="15"/>
      <c r="CL155" s="15"/>
      <c r="CM155" s="15"/>
      <c r="CN155" s="15"/>
      <c r="CO155" s="8">
        <v>0</v>
      </c>
      <c r="CP155" s="8">
        <v>1293.460082026834</v>
      </c>
      <c r="CQ155" s="56">
        <v>40452</v>
      </c>
      <c r="CR155" s="8">
        <v>0</v>
      </c>
      <c r="CS155" s="8">
        <v>9907.1463094241917</v>
      </c>
      <c r="CT155" s="8">
        <v>0</v>
      </c>
      <c r="CU155" s="8">
        <v>1612.1</v>
      </c>
    </row>
    <row r="156" spans="1:105" x14ac:dyDescent="0.25">
      <c r="A156" s="56">
        <v>37043</v>
      </c>
      <c r="B156" s="8">
        <v>0</v>
      </c>
      <c r="C156" s="8">
        <v>11.570147562026978</v>
      </c>
      <c r="D156" s="8">
        <v>0</v>
      </c>
      <c r="E156" s="8">
        <v>0</v>
      </c>
      <c r="AG156">
        <v>2010</v>
      </c>
      <c r="AH156">
        <v>8</v>
      </c>
      <c r="AI156" s="51">
        <v>39697.982863406411</v>
      </c>
      <c r="AJ156" s="51">
        <v>0</v>
      </c>
      <c r="CB156" s="15"/>
      <c r="CC156" s="15"/>
      <c r="CD156" s="15"/>
      <c r="CE156" s="8"/>
      <c r="CF156" s="8"/>
      <c r="CG156" s="8"/>
      <c r="CK156" s="15"/>
      <c r="CL156" s="15"/>
      <c r="CM156" s="15"/>
      <c r="CN156" s="15"/>
      <c r="CO156" s="8">
        <v>15.597861492633823</v>
      </c>
      <c r="CP156" s="8">
        <v>398.51444614187358</v>
      </c>
      <c r="CQ156" s="56">
        <v>40483</v>
      </c>
      <c r="CR156" s="8">
        <v>23.195815563201894</v>
      </c>
      <c r="CS156" s="8">
        <v>4623.4838538765907</v>
      </c>
      <c r="CT156" s="8">
        <v>0</v>
      </c>
      <c r="CU156" s="8">
        <v>117.28</v>
      </c>
      <c r="CV156" s="56">
        <f>CQ156</f>
        <v>40483</v>
      </c>
      <c r="CW156" s="8">
        <f>SUM(CR152:CR160)+SUM(CO152:CO160)</f>
        <v>5826.6301958357708</v>
      </c>
      <c r="CX156" s="8">
        <f>SUM(CS144:CS155)+SUM(CP144:CP155)</f>
        <v>55083.947948455971</v>
      </c>
      <c r="CY156" s="8">
        <f t="shared" ref="CY156" si="168">SUM(CT144:CT155)</f>
        <v>0</v>
      </c>
      <c r="CZ156" s="8">
        <f>SUM(CU144:CU155)</f>
        <v>15567.510100000001</v>
      </c>
    </row>
    <row r="157" spans="1:105" x14ac:dyDescent="0.25">
      <c r="A157" s="56">
        <v>37073</v>
      </c>
      <c r="B157" s="8">
        <v>0</v>
      </c>
      <c r="C157" s="8">
        <v>76.246003246307438</v>
      </c>
      <c r="D157" s="8">
        <v>154</v>
      </c>
      <c r="E157" s="8">
        <v>0</v>
      </c>
      <c r="AG157">
        <v>2010</v>
      </c>
      <c r="AH157">
        <v>9</v>
      </c>
      <c r="AI157" s="51">
        <v>29578.074282357138</v>
      </c>
      <c r="AJ157" s="51">
        <v>0</v>
      </c>
      <c r="CB157" s="15"/>
      <c r="CC157" s="15"/>
      <c r="CD157" s="15"/>
      <c r="CE157" s="8"/>
      <c r="CF157" s="8"/>
      <c r="CG157" s="8"/>
      <c r="CK157" s="15"/>
      <c r="CL157" s="15"/>
      <c r="CM157" s="15"/>
      <c r="CN157" s="15"/>
      <c r="CO157" s="8">
        <v>140.21565135866405</v>
      </c>
      <c r="CP157" s="8">
        <v>528.39845633623224</v>
      </c>
      <c r="CQ157" s="56">
        <v>40513</v>
      </c>
      <c r="CR157" s="8">
        <v>219.21824926137924</v>
      </c>
      <c r="CS157" s="8">
        <v>4914.0388686954975</v>
      </c>
      <c r="CT157" s="8">
        <v>0</v>
      </c>
      <c r="CU157" s="8">
        <v>62.152000000000001</v>
      </c>
      <c r="CW157" s="8"/>
      <c r="CX157" s="8">
        <f>SUM(CS144:CS148)+SUM(CP144:CP148)</f>
        <v>18195.254518864116</v>
      </c>
      <c r="CY157" s="8">
        <f t="shared" ref="CY157" si="169">SUM(CT144:CT148)</f>
        <v>0</v>
      </c>
      <c r="CZ157" s="8">
        <f t="shared" ref="CZ157" si="170">SUM(CU144:CU148)</f>
        <v>12523</v>
      </c>
      <c r="DA157" s="8">
        <f>SUM(CX157:CZ157)</f>
        <v>30718.254518864116</v>
      </c>
    </row>
    <row r="158" spans="1:105" x14ac:dyDescent="0.25">
      <c r="A158" s="56">
        <v>37104</v>
      </c>
      <c r="B158" s="8">
        <v>0</v>
      </c>
      <c r="C158" s="8">
        <v>11.623607444763186</v>
      </c>
      <c r="D158" s="8">
        <v>0</v>
      </c>
      <c r="E158" s="8">
        <v>0</v>
      </c>
      <c r="AG158">
        <v>2010</v>
      </c>
      <c r="AH158">
        <v>10</v>
      </c>
      <c r="AI158" s="51">
        <v>30099.740995142609</v>
      </c>
      <c r="AJ158" s="51">
        <v>308.51818466186501</v>
      </c>
      <c r="AK158">
        <f>AG158</f>
        <v>2010</v>
      </c>
      <c r="AL158" s="8">
        <f>SUM(AI155:AI158)</f>
        <v>99876.838858466028</v>
      </c>
      <c r="AM158" s="8">
        <f>SUM(AJ147:AJ158)</f>
        <v>308.51818466186501</v>
      </c>
      <c r="CB158" s="15"/>
      <c r="CC158" s="15"/>
      <c r="CD158" s="15"/>
      <c r="CE158" s="8"/>
      <c r="CF158" s="10"/>
      <c r="CG158" s="8"/>
      <c r="CH158" s="8"/>
      <c r="CK158" s="15"/>
      <c r="CL158" s="15"/>
      <c r="CM158" s="15"/>
      <c r="CN158" s="15"/>
      <c r="CO158" s="8">
        <v>1773.1213840037585</v>
      </c>
      <c r="CP158" s="8">
        <v>231.41385238766654</v>
      </c>
      <c r="CQ158" s="56">
        <v>40544</v>
      </c>
      <c r="CR158" s="8">
        <v>538.07735487725608</v>
      </c>
      <c r="CS158" s="8">
        <v>8563.4248566329479</v>
      </c>
      <c r="CT158" s="8">
        <v>0</v>
      </c>
      <c r="CU158" s="8">
        <v>3851.2</v>
      </c>
    </row>
    <row r="159" spans="1:105" x14ac:dyDescent="0.25">
      <c r="A159" s="56">
        <v>37135</v>
      </c>
      <c r="B159" s="8">
        <v>0</v>
      </c>
      <c r="C159" s="8">
        <v>728.5969104766848</v>
      </c>
      <c r="D159" s="8">
        <v>0</v>
      </c>
      <c r="E159" s="8">
        <v>0</v>
      </c>
      <c r="AG159">
        <v>2010</v>
      </c>
      <c r="AH159">
        <v>11</v>
      </c>
      <c r="AI159" s="51">
        <v>8645.4707687392493</v>
      </c>
      <c r="AJ159" s="51">
        <v>0</v>
      </c>
      <c r="CB159" s="15"/>
      <c r="CC159" s="15"/>
      <c r="CD159" s="15"/>
      <c r="CE159" s="8"/>
      <c r="CF159" s="8"/>
      <c r="CG159" s="8"/>
      <c r="CK159" s="15"/>
      <c r="CL159" s="15"/>
      <c r="CM159" s="15"/>
      <c r="CN159" s="15"/>
      <c r="CO159" s="8">
        <v>1058.9454234749091</v>
      </c>
      <c r="CP159" s="8">
        <v>1.7926715493202208</v>
      </c>
      <c r="CQ159" s="56">
        <v>40575</v>
      </c>
      <c r="CR159" s="8">
        <v>353.87071808846679</v>
      </c>
      <c r="CS159" s="8">
        <v>7065.4109282493591</v>
      </c>
      <c r="CT159" s="8">
        <v>0</v>
      </c>
      <c r="CU159" s="8">
        <v>5055.3</v>
      </c>
    </row>
    <row r="160" spans="1:105" x14ac:dyDescent="0.25">
      <c r="A160" s="56">
        <v>37165</v>
      </c>
      <c r="B160" s="8">
        <v>1123.5898742675784</v>
      </c>
      <c r="C160" s="8">
        <v>897.34649248123173</v>
      </c>
      <c r="D160" s="8">
        <v>0</v>
      </c>
      <c r="E160" s="8">
        <v>0</v>
      </c>
      <c r="AG160">
        <v>2010</v>
      </c>
      <c r="AH160">
        <v>12</v>
      </c>
      <c r="AI160" s="51">
        <v>15575.236873108895</v>
      </c>
      <c r="AJ160" s="51">
        <v>0</v>
      </c>
      <c r="CB160" s="15"/>
      <c r="CC160" s="15"/>
      <c r="CD160" s="15"/>
      <c r="CE160" s="8"/>
      <c r="CF160" s="8"/>
      <c r="CG160" s="8"/>
      <c r="CK160" s="15"/>
      <c r="CL160" s="15"/>
      <c r="CM160" s="15"/>
      <c r="CN160" s="15"/>
      <c r="CO160" s="8">
        <v>1027.7601765513423</v>
      </c>
      <c r="CP160" s="8">
        <v>0.13700221776962301</v>
      </c>
      <c r="CQ160" s="56">
        <v>40603</v>
      </c>
      <c r="CR160" s="8">
        <v>668.26226615335338</v>
      </c>
      <c r="CS160" s="8">
        <v>5795.6667482852936</v>
      </c>
      <c r="CT160" s="8">
        <v>0</v>
      </c>
      <c r="CU160" s="8">
        <v>1802.2</v>
      </c>
    </row>
    <row r="161" spans="1:105" x14ac:dyDescent="0.25">
      <c r="A161" s="56">
        <v>37196</v>
      </c>
      <c r="B161" s="8">
        <v>865.12802505493175</v>
      </c>
      <c r="C161" s="8">
        <v>4202.4829245150086</v>
      </c>
      <c r="D161" s="8">
        <v>20870.915592117613</v>
      </c>
      <c r="E161" s="8">
        <v>0</v>
      </c>
      <c r="F161" s="56">
        <f>A161</f>
        <v>37196</v>
      </c>
      <c r="G161" s="8">
        <f>SUM(B157:B165)</f>
        <v>8529.5618782043457</v>
      </c>
      <c r="H161" s="8">
        <f>SUM(C157:C161)</f>
        <v>5916.2959381639957</v>
      </c>
      <c r="I161" s="8">
        <f>SUM(D150:D161)</f>
        <v>69908.585261408822</v>
      </c>
      <c r="J161" s="8">
        <f>SUM(E149:E160)</f>
        <v>50041.246093750007</v>
      </c>
      <c r="AG161">
        <v>2011</v>
      </c>
      <c r="AH161">
        <v>1</v>
      </c>
      <c r="AI161" s="51">
        <v>43743.28282579036</v>
      </c>
      <c r="AJ161" s="51">
        <v>0</v>
      </c>
      <c r="CB161" s="15"/>
      <c r="CC161" s="15"/>
      <c r="CD161" s="15"/>
      <c r="CE161" s="8"/>
      <c r="CF161" s="8"/>
      <c r="CG161" s="8"/>
      <c r="CK161" s="15"/>
      <c r="CL161" s="15"/>
      <c r="CM161" s="15"/>
      <c r="CN161" s="15"/>
      <c r="CO161" s="8">
        <v>20.080229367443831</v>
      </c>
      <c r="CP161" s="8">
        <v>0</v>
      </c>
      <c r="CQ161" s="56">
        <v>40634</v>
      </c>
      <c r="CR161" s="8">
        <v>0.86352753639221203</v>
      </c>
      <c r="CS161" s="8">
        <v>2145.0703125</v>
      </c>
      <c r="CT161" s="8">
        <v>0</v>
      </c>
      <c r="CU161" s="8">
        <v>184.77</v>
      </c>
    </row>
    <row r="162" spans="1:105" x14ac:dyDescent="0.25">
      <c r="A162" s="56">
        <v>37226</v>
      </c>
      <c r="B162" s="8">
        <v>1225.0320968627932</v>
      </c>
      <c r="C162" s="8">
        <v>608.27826512455965</v>
      </c>
      <c r="D162" s="8">
        <v>4238.0940940530118</v>
      </c>
      <c r="E162" s="8">
        <v>0</v>
      </c>
      <c r="AG162">
        <v>2011</v>
      </c>
      <c r="AH162">
        <v>2</v>
      </c>
      <c r="AI162" s="51">
        <v>26718.268172532316</v>
      </c>
      <c r="AJ162" s="51">
        <v>0</v>
      </c>
      <c r="CB162" s="15"/>
      <c r="CC162" s="15"/>
      <c r="CD162" s="15"/>
      <c r="CE162" s="8"/>
      <c r="CF162" s="8"/>
      <c r="CG162" s="8"/>
      <c r="CK162" s="15"/>
      <c r="CL162" s="15"/>
      <c r="CM162" s="15"/>
      <c r="CN162" s="15"/>
      <c r="CO162" s="8">
        <v>83.23162234425547</v>
      </c>
      <c r="CP162" s="8">
        <v>0</v>
      </c>
      <c r="CQ162" s="56">
        <v>40664</v>
      </c>
      <c r="CR162" s="8">
        <v>0</v>
      </c>
      <c r="CS162" s="8">
        <v>0</v>
      </c>
      <c r="CT162" s="8">
        <v>0</v>
      </c>
      <c r="CU162" s="8">
        <v>56.81</v>
      </c>
    </row>
    <row r="163" spans="1:105" x14ac:dyDescent="0.25">
      <c r="A163" s="56">
        <v>37257</v>
      </c>
      <c r="B163" s="8">
        <v>2299.3971786499023</v>
      </c>
      <c r="C163" s="8">
        <v>87176.727230156132</v>
      </c>
      <c r="D163" s="8">
        <v>767.06715393066463</v>
      </c>
      <c r="E163" s="8">
        <v>0</v>
      </c>
      <c r="AG163">
        <v>2011</v>
      </c>
      <c r="AH163">
        <v>3</v>
      </c>
      <c r="AI163" s="51">
        <v>24292.405975822352</v>
      </c>
      <c r="AJ163" s="51">
        <v>0</v>
      </c>
      <c r="AO163">
        <f>AG158</f>
        <v>2010</v>
      </c>
      <c r="AP163" s="8">
        <f>SUM(AI159:AI163)</f>
        <v>118974.66461599318</v>
      </c>
      <c r="AQ163" s="8">
        <f>SUM(AJ159:AJ163)</f>
        <v>0</v>
      </c>
      <c r="CB163" s="15"/>
      <c r="CC163" s="15"/>
      <c r="CD163" s="15"/>
      <c r="CE163" s="8"/>
      <c r="CF163" s="8"/>
      <c r="CG163" s="8"/>
      <c r="CK163" s="15"/>
      <c r="CL163" s="15"/>
      <c r="CM163" s="15"/>
      <c r="CN163" s="15"/>
      <c r="CO163" s="8">
        <v>86.907727424055338</v>
      </c>
      <c r="CP163" s="8">
        <v>195.02364287786213</v>
      </c>
      <c r="CQ163" s="56">
        <v>40695</v>
      </c>
      <c r="CR163" s="8">
        <v>0</v>
      </c>
      <c r="CS163" s="8">
        <v>213.47187161445612</v>
      </c>
      <c r="CT163" s="8">
        <v>0</v>
      </c>
      <c r="CU163" s="8">
        <v>97.852000000000004</v>
      </c>
    </row>
    <row r="164" spans="1:105" x14ac:dyDescent="0.25">
      <c r="A164" s="56">
        <v>37288</v>
      </c>
      <c r="B164" s="8">
        <v>1659.6536102294924</v>
      </c>
      <c r="C164" s="8">
        <v>55990.955891484016</v>
      </c>
      <c r="D164" s="8">
        <v>1113.4848163232214</v>
      </c>
      <c r="E164" s="8">
        <v>0</v>
      </c>
      <c r="AG164">
        <v>2011</v>
      </c>
      <c r="AH164">
        <v>4</v>
      </c>
      <c r="AI164" s="51">
        <v>937.15632534539338</v>
      </c>
      <c r="AJ164" s="51">
        <v>0</v>
      </c>
      <c r="CB164" s="15"/>
      <c r="CC164" s="15"/>
      <c r="CD164" s="15"/>
      <c r="CE164" s="8"/>
      <c r="CF164" s="8"/>
      <c r="CG164" s="8"/>
      <c r="CK164" s="15"/>
      <c r="CL164" s="15"/>
      <c r="CM164" s="15"/>
      <c r="CN164" s="15"/>
      <c r="CO164" s="8">
        <v>81.101466232538229</v>
      </c>
      <c r="CP164" s="8">
        <v>0</v>
      </c>
      <c r="CQ164" s="56">
        <v>40725</v>
      </c>
      <c r="CR164" s="8">
        <v>0</v>
      </c>
      <c r="CS164" s="8">
        <v>0</v>
      </c>
      <c r="CT164" s="8">
        <v>0</v>
      </c>
      <c r="CU164" s="8">
        <v>594.89</v>
      </c>
    </row>
    <row r="165" spans="1:105" x14ac:dyDescent="0.25">
      <c r="A165" s="56">
        <v>37316</v>
      </c>
      <c r="B165" s="8">
        <v>1356.7610931396484</v>
      </c>
      <c r="C165" s="8">
        <v>19580.82005310915</v>
      </c>
      <c r="D165" s="8">
        <v>4066.7136922478721</v>
      </c>
      <c r="E165" s="8">
        <v>0</v>
      </c>
      <c r="AG165">
        <v>2011</v>
      </c>
      <c r="AH165">
        <v>5</v>
      </c>
      <c r="AI165" s="51">
        <v>6874.3181449174881</v>
      </c>
      <c r="AJ165" s="51">
        <v>0</v>
      </c>
      <c r="CB165" s="15"/>
      <c r="CC165" s="15"/>
      <c r="CD165" s="15"/>
      <c r="CE165" s="8"/>
      <c r="CF165" s="8"/>
      <c r="CG165" s="8"/>
      <c r="CK165" s="15"/>
      <c r="CL165" s="15"/>
      <c r="CM165" s="15"/>
      <c r="CN165" s="15"/>
      <c r="CO165" s="8">
        <v>129.9598148234189</v>
      </c>
      <c r="CP165" s="8">
        <v>6.7656609475612814</v>
      </c>
      <c r="CQ165" s="56">
        <v>40756</v>
      </c>
      <c r="CR165" s="8">
        <v>57.291302800178521</v>
      </c>
      <c r="CS165" s="8">
        <v>0</v>
      </c>
      <c r="CT165" s="8">
        <v>0</v>
      </c>
      <c r="CU165" s="8">
        <v>7.9009999999999998</v>
      </c>
    </row>
    <row r="166" spans="1:105" x14ac:dyDescent="0.25">
      <c r="A166" s="56">
        <v>37347</v>
      </c>
      <c r="B166" s="8">
        <v>0</v>
      </c>
      <c r="C166" s="8">
        <v>107.12613327503207</v>
      </c>
      <c r="D166" s="8">
        <v>4339.7895353317263</v>
      </c>
      <c r="E166" s="8">
        <v>0</v>
      </c>
      <c r="AG166">
        <v>2011</v>
      </c>
      <c r="AH166">
        <v>6</v>
      </c>
      <c r="AI166" s="51">
        <v>9198.3032194525003</v>
      </c>
      <c r="AJ166" s="51">
        <v>0</v>
      </c>
      <c r="CB166" s="15"/>
      <c r="CC166" s="15"/>
      <c r="CD166" s="15"/>
      <c r="CE166" s="8"/>
      <c r="CF166" s="8"/>
      <c r="CG166" s="8"/>
      <c r="CK166" s="15"/>
      <c r="CL166" s="15"/>
      <c r="CM166" s="15"/>
      <c r="CN166" s="15"/>
      <c r="CO166" s="8">
        <v>909.96643851846511</v>
      </c>
      <c r="CP166" s="8">
        <v>4.8770074367523204</v>
      </c>
      <c r="CQ166" s="56">
        <v>40787</v>
      </c>
      <c r="CR166" s="8">
        <v>500.89862557710148</v>
      </c>
      <c r="CS166" s="8">
        <v>143.11851978302002</v>
      </c>
      <c r="CT166" s="8">
        <v>0</v>
      </c>
      <c r="CU166" s="8">
        <v>128.97</v>
      </c>
    </row>
    <row r="167" spans="1:105" x14ac:dyDescent="0.25">
      <c r="A167" s="56">
        <v>37377</v>
      </c>
      <c r="B167" s="8">
        <v>0</v>
      </c>
      <c r="C167" s="8">
        <v>94.019107866287257</v>
      </c>
      <c r="D167" s="8">
        <v>0</v>
      </c>
      <c r="E167" s="8">
        <v>0</v>
      </c>
      <c r="AG167">
        <v>2011</v>
      </c>
      <c r="AH167">
        <v>7</v>
      </c>
      <c r="AI167" s="51">
        <v>4972.0787621736563</v>
      </c>
      <c r="AJ167" s="51">
        <v>0</v>
      </c>
      <c r="CB167" s="15"/>
      <c r="CC167" s="15"/>
      <c r="CD167" s="15"/>
      <c r="CE167" s="8"/>
      <c r="CF167" s="8"/>
      <c r="CG167" s="8"/>
      <c r="CK167" s="15"/>
      <c r="CL167" s="15"/>
      <c r="CM167" s="15"/>
      <c r="CN167" s="15"/>
      <c r="CO167" s="8">
        <v>24.68897255361081</v>
      </c>
      <c r="CP167" s="8">
        <v>225.65696643888379</v>
      </c>
      <c r="CQ167" s="56">
        <v>40817</v>
      </c>
      <c r="CR167" s="8">
        <v>0</v>
      </c>
      <c r="CS167" s="8">
        <v>9828.3480411171913</v>
      </c>
      <c r="CT167" s="8">
        <v>0</v>
      </c>
      <c r="CU167" s="8">
        <v>2258.5</v>
      </c>
    </row>
    <row r="168" spans="1:105" x14ac:dyDescent="0.25">
      <c r="A168" s="56">
        <v>37408</v>
      </c>
      <c r="B168" s="8">
        <v>0</v>
      </c>
      <c r="C168" s="8">
        <v>348.31453268527991</v>
      </c>
      <c r="D168" s="8">
        <v>0</v>
      </c>
      <c r="E168" s="8">
        <v>0</v>
      </c>
      <c r="AG168">
        <v>2011</v>
      </c>
      <c r="AH168">
        <v>8</v>
      </c>
      <c r="AI168" s="51">
        <v>6706.6382934730518</v>
      </c>
      <c r="AJ168" s="51">
        <v>0</v>
      </c>
      <c r="CB168" s="15"/>
      <c r="CC168" s="15"/>
      <c r="CD168" s="15"/>
      <c r="CE168" s="8"/>
      <c r="CF168" s="8"/>
      <c r="CG168" s="8"/>
      <c r="CK168" s="15"/>
      <c r="CL168" s="15"/>
      <c r="CM168" s="15"/>
      <c r="CN168" s="15"/>
      <c r="CO168" s="8">
        <v>396.26954332210596</v>
      </c>
      <c r="CP168" s="8">
        <v>1774.2671025244524</v>
      </c>
      <c r="CQ168" s="56">
        <v>40848</v>
      </c>
      <c r="CR168" s="8">
        <v>257.19465060159581</v>
      </c>
      <c r="CS168" s="8">
        <v>6398.2061614990234</v>
      </c>
      <c r="CT168" s="8">
        <v>0</v>
      </c>
      <c r="CU168" s="8">
        <v>355.33</v>
      </c>
      <c r="CV168" s="56">
        <f>CQ168</f>
        <v>40848</v>
      </c>
      <c r="CW168" s="8">
        <f>SUM(CR164:CR172)+SUM(CO164:CO172)</f>
        <v>3508.0077786570191</v>
      </c>
      <c r="CX168" s="8">
        <f>SUM(CS156:CS167)+SUM(CP156:CP167)</f>
        <v>44884.613707088276</v>
      </c>
      <c r="CY168" s="8">
        <f t="shared" ref="CY168" si="171">SUM(CT156:CT167)</f>
        <v>0</v>
      </c>
      <c r="CZ168" s="8">
        <f>SUM(CU156:CU167)</f>
        <v>14217.825000000001</v>
      </c>
    </row>
    <row r="169" spans="1:105" x14ac:dyDescent="0.25">
      <c r="A169" s="56">
        <v>37438</v>
      </c>
      <c r="B169" s="8">
        <v>0</v>
      </c>
      <c r="C169" s="8">
        <v>734.63913488388062</v>
      </c>
      <c r="D169" s="8">
        <v>0</v>
      </c>
      <c r="E169" s="8">
        <v>0</v>
      </c>
      <c r="AG169">
        <v>2011</v>
      </c>
      <c r="AH169">
        <v>9</v>
      </c>
      <c r="AI169" s="51">
        <v>23871.123983118461</v>
      </c>
      <c r="AJ169" s="51">
        <v>0</v>
      </c>
      <c r="CB169" s="15"/>
      <c r="CC169" s="15"/>
      <c r="CD169" s="15"/>
      <c r="CE169" s="8"/>
      <c r="CF169" s="8"/>
      <c r="CG169" s="8"/>
      <c r="CK169" s="15"/>
      <c r="CL169" s="15"/>
      <c r="CM169" s="15"/>
      <c r="CN169" s="15"/>
      <c r="CO169" s="8">
        <v>5.47499895095825E-2</v>
      </c>
      <c r="CP169" s="8">
        <v>2052.4419790862135</v>
      </c>
      <c r="CQ169" s="56">
        <v>40878</v>
      </c>
      <c r="CR169" s="8">
        <v>161.26479434967052</v>
      </c>
      <c r="CS169" s="8">
        <v>3497.7774736881256</v>
      </c>
      <c r="CT169" s="8">
        <v>0</v>
      </c>
      <c r="CU169" s="8">
        <v>43.787999999999997</v>
      </c>
      <c r="CW169" s="8"/>
      <c r="CX169" s="8">
        <f>SUM(CS156:CS160)+SUM(CP156:CP160)</f>
        <v>32122.281684372552</v>
      </c>
      <c r="CY169" s="8">
        <f t="shared" ref="CY169" si="172">SUM(CT156:CT160)</f>
        <v>0</v>
      </c>
      <c r="CZ169" s="8">
        <f t="shared" ref="CZ169" si="173">SUM(CU156:CU160)</f>
        <v>10888.132000000001</v>
      </c>
      <c r="DA169" s="8">
        <f>SUM(CX169:CZ169)</f>
        <v>43010.413684372557</v>
      </c>
    </row>
    <row r="170" spans="1:105" x14ac:dyDescent="0.25">
      <c r="A170" s="56">
        <v>37469</v>
      </c>
      <c r="B170" s="8">
        <v>0</v>
      </c>
      <c r="C170" s="8">
        <v>634.06203703880328</v>
      </c>
      <c r="D170" s="8">
        <v>174.37509765625043</v>
      </c>
      <c r="E170" s="8">
        <v>0</v>
      </c>
      <c r="AG170">
        <v>2011</v>
      </c>
      <c r="AH170">
        <v>10</v>
      </c>
      <c r="AI170" s="51">
        <v>5510.6472770140981</v>
      </c>
      <c r="AJ170" s="51">
        <v>0</v>
      </c>
      <c r="AK170">
        <f>AG170</f>
        <v>2011</v>
      </c>
      <c r="AL170" s="8">
        <f>SUM(AI167:AI170)</f>
        <v>41060.488315779265</v>
      </c>
      <c r="AM170" s="8">
        <f>SUM(AJ159:AJ170)</f>
        <v>0</v>
      </c>
      <c r="CB170" s="15"/>
      <c r="CC170" s="15"/>
      <c r="CD170" s="15"/>
      <c r="CE170" s="8"/>
      <c r="CF170" s="10"/>
      <c r="CG170" s="8"/>
      <c r="CH170" s="8"/>
      <c r="CK170" s="15"/>
      <c r="CL170" s="15"/>
      <c r="CM170" s="15"/>
      <c r="CN170" s="15"/>
      <c r="CO170" s="8">
        <v>1.7024962179362753</v>
      </c>
      <c r="CP170" s="8">
        <v>82.406761944293962</v>
      </c>
      <c r="CQ170" s="56">
        <v>40909</v>
      </c>
      <c r="CR170" s="8">
        <v>753.29053197801102</v>
      </c>
      <c r="CS170" s="8">
        <v>6304.2550639687106</v>
      </c>
      <c r="CT170" s="8">
        <v>0</v>
      </c>
      <c r="CU170" s="8">
        <v>1569.7</v>
      </c>
    </row>
    <row r="171" spans="1:105" x14ac:dyDescent="0.25">
      <c r="A171" s="56">
        <v>37500</v>
      </c>
      <c r="B171" s="8">
        <v>0</v>
      </c>
      <c r="C171" s="8">
        <v>13624.193404579166</v>
      </c>
      <c r="D171" s="8">
        <v>522.08894592374531</v>
      </c>
      <c r="E171" s="8">
        <v>0</v>
      </c>
      <c r="AG171">
        <v>2011</v>
      </c>
      <c r="AH171">
        <v>11</v>
      </c>
      <c r="AI171" s="51">
        <v>30667.31473271735</v>
      </c>
      <c r="AJ171" s="51">
        <v>20496.62474060059</v>
      </c>
      <c r="CB171" s="15"/>
      <c r="CC171" s="15"/>
      <c r="CD171" s="15"/>
      <c r="CE171" s="8"/>
      <c r="CF171" s="8"/>
      <c r="CG171" s="8"/>
      <c r="CK171" s="15"/>
      <c r="CL171" s="15"/>
      <c r="CM171" s="15"/>
      <c r="CN171" s="15"/>
      <c r="CO171" s="8">
        <v>0</v>
      </c>
      <c r="CP171" s="8">
        <v>127.48577158451081</v>
      </c>
      <c r="CQ171" s="56">
        <v>40940</v>
      </c>
      <c r="CR171" s="8">
        <v>25.482179403305071</v>
      </c>
      <c r="CS171" s="8">
        <v>843.83786699175823</v>
      </c>
      <c r="CT171" s="8">
        <v>6.2729949951171884</v>
      </c>
      <c r="CU171" s="8">
        <v>635.55999999999995</v>
      </c>
    </row>
    <row r="172" spans="1:105" x14ac:dyDescent="0.25">
      <c r="A172" s="56">
        <v>37530</v>
      </c>
      <c r="B172" s="8">
        <v>1100.1801528930662</v>
      </c>
      <c r="C172" s="8">
        <v>5277.3998257637058</v>
      </c>
      <c r="D172" s="8">
        <v>0</v>
      </c>
      <c r="E172" s="8">
        <v>0</v>
      </c>
      <c r="AG172">
        <v>2011</v>
      </c>
      <c r="AH172">
        <v>12</v>
      </c>
      <c r="AI172" s="51">
        <v>55181.994587354347</v>
      </c>
      <c r="AJ172" s="51">
        <v>25909.874526977543</v>
      </c>
      <c r="CB172" s="15"/>
      <c r="CC172" s="15"/>
      <c r="CD172" s="15"/>
      <c r="CE172" s="8"/>
      <c r="CF172" s="8"/>
      <c r="CG172" s="8"/>
      <c r="CK172" s="15"/>
      <c r="CL172" s="15"/>
      <c r="CM172" s="15"/>
      <c r="CN172" s="15"/>
      <c r="CO172" s="8">
        <v>25.66382226347924</v>
      </c>
      <c r="CP172" s="8">
        <v>15.189965454774224</v>
      </c>
      <c r="CQ172" s="56">
        <v>40969</v>
      </c>
      <c r="CR172" s="8">
        <v>183.1783900260925</v>
      </c>
      <c r="CS172" s="8">
        <v>3674.3298941552648</v>
      </c>
      <c r="CT172" s="8">
        <v>0</v>
      </c>
      <c r="CU172" s="8">
        <v>2910.4</v>
      </c>
    </row>
    <row r="173" spans="1:105" x14ac:dyDescent="0.25">
      <c r="A173" s="56">
        <v>37561</v>
      </c>
      <c r="B173" s="8">
        <v>1715.3040924072266</v>
      </c>
      <c r="C173" s="8">
        <v>8030.043897628786</v>
      </c>
      <c r="D173" s="8">
        <v>0</v>
      </c>
      <c r="E173" s="8">
        <v>0</v>
      </c>
      <c r="F173" s="56">
        <f>A173</f>
        <v>37561</v>
      </c>
      <c r="G173" s="8">
        <f>SUM(B169:B177)</f>
        <v>9463.9901847839355</v>
      </c>
      <c r="H173" s="8">
        <f>SUM(C169:C173)</f>
        <v>28300.338299894342</v>
      </c>
      <c r="I173" s="8">
        <f>SUM(D162:D173)</f>
        <v>15221.613335466493</v>
      </c>
      <c r="J173" s="8">
        <f>SUM(E161:E172)</f>
        <v>0</v>
      </c>
      <c r="AG173">
        <v>2012</v>
      </c>
      <c r="AH173">
        <v>1</v>
      </c>
      <c r="AI173" s="51">
        <v>7612.0899237543344</v>
      </c>
      <c r="AJ173" s="51">
        <v>694.53564453125</v>
      </c>
      <c r="CB173" s="15"/>
      <c r="CC173" s="15"/>
      <c r="CD173" s="15"/>
      <c r="CE173" s="8"/>
      <c r="CF173" s="8"/>
      <c r="CG173" s="8"/>
      <c r="CK173" s="15"/>
      <c r="CL173" s="15"/>
      <c r="CM173" s="15"/>
      <c r="CN173" s="15"/>
      <c r="CO173" s="8">
        <v>1.543977117165924</v>
      </c>
      <c r="CP173" s="8">
        <v>0</v>
      </c>
      <c r="CQ173" s="56">
        <v>41000</v>
      </c>
      <c r="CR173" s="8">
        <v>0.87803614139556896</v>
      </c>
      <c r="CS173" s="8">
        <v>0</v>
      </c>
      <c r="CT173" s="8">
        <v>0</v>
      </c>
      <c r="CU173" s="8">
        <v>10.541</v>
      </c>
    </row>
    <row r="174" spans="1:105" x14ac:dyDescent="0.25">
      <c r="A174" s="56">
        <v>37591</v>
      </c>
      <c r="B174" s="8">
        <v>2078.8007202148437</v>
      </c>
      <c r="C174" s="8">
        <v>12206.689287757874</v>
      </c>
      <c r="D174" s="8">
        <v>247.01901607513452</v>
      </c>
      <c r="E174" s="8">
        <v>0</v>
      </c>
      <c r="AG174">
        <v>2012</v>
      </c>
      <c r="AH174">
        <v>2</v>
      </c>
      <c r="AI174" s="51">
        <v>208.04002189636211</v>
      </c>
      <c r="AJ174" s="51">
        <v>2120.9733581542969</v>
      </c>
      <c r="CB174" s="15"/>
      <c r="CC174" s="15"/>
      <c r="CD174" s="15"/>
      <c r="CE174" s="8"/>
      <c r="CF174" s="8"/>
      <c r="CG174" s="8"/>
      <c r="CK174" s="15"/>
      <c r="CL174" s="15"/>
      <c r="CM174" s="15"/>
      <c r="CN174" s="15"/>
      <c r="CO174" s="8">
        <v>1.1198806911706924</v>
      </c>
      <c r="CP174" s="8">
        <v>6.0795082858647103</v>
      </c>
      <c r="CQ174" s="56">
        <v>41030</v>
      </c>
      <c r="CR174" s="8">
        <v>0</v>
      </c>
      <c r="CS174" s="8">
        <v>980</v>
      </c>
      <c r="CT174" s="8">
        <v>0</v>
      </c>
      <c r="CU174" s="8">
        <v>13.566000000000001</v>
      </c>
    </row>
    <row r="175" spans="1:105" x14ac:dyDescent="0.25">
      <c r="A175" s="56">
        <v>37622</v>
      </c>
      <c r="B175" s="8">
        <v>2516.2752838134761</v>
      </c>
      <c r="C175" s="8">
        <v>19244.270612031225</v>
      </c>
      <c r="D175" s="8">
        <v>0</v>
      </c>
      <c r="E175" s="8">
        <v>0</v>
      </c>
      <c r="AG175">
        <v>2012</v>
      </c>
      <c r="AH175">
        <v>3</v>
      </c>
      <c r="AI175" s="51">
        <v>923.65266079595312</v>
      </c>
      <c r="AJ175" s="51">
        <v>0</v>
      </c>
      <c r="AO175">
        <f>AG170</f>
        <v>2011</v>
      </c>
      <c r="AP175" s="8">
        <f>SUM(AI171:AI175)</f>
        <v>94593.091926518347</v>
      </c>
      <c r="AQ175" s="8">
        <f>SUM(AJ171:AJ175)</f>
        <v>49222.008270263679</v>
      </c>
      <c r="CB175" s="15"/>
      <c r="CC175" s="15"/>
      <c r="CD175" s="15"/>
      <c r="CE175" s="8"/>
      <c r="CF175" s="8"/>
      <c r="CG175" s="8"/>
      <c r="CK175" s="15"/>
      <c r="CL175" s="15"/>
      <c r="CM175" s="15"/>
      <c r="CN175" s="15"/>
      <c r="CO175" s="8">
        <v>0.76862144470214855</v>
      </c>
      <c r="CP175" s="8">
        <v>22.74935910941565</v>
      </c>
      <c r="CQ175" s="56">
        <v>41061</v>
      </c>
      <c r="CR175" s="8">
        <v>0</v>
      </c>
      <c r="CS175" s="8">
        <v>1867.2539219856262</v>
      </c>
      <c r="CT175" s="8">
        <v>0</v>
      </c>
      <c r="CU175" s="8">
        <v>0</v>
      </c>
    </row>
    <row r="176" spans="1:105" x14ac:dyDescent="0.25">
      <c r="A176" s="56">
        <v>37653</v>
      </c>
      <c r="B176" s="8">
        <v>1079.4702606201172</v>
      </c>
      <c r="C176" s="8">
        <v>5824.2968354135764</v>
      </c>
      <c r="D176" s="8">
        <v>27691.724520552176</v>
      </c>
      <c r="E176" s="8">
        <v>0</v>
      </c>
      <c r="AG176">
        <v>2012</v>
      </c>
      <c r="AH176">
        <v>4</v>
      </c>
      <c r="AI176" s="51">
        <v>30.881781451404105</v>
      </c>
      <c r="AJ176" s="51">
        <v>0</v>
      </c>
      <c r="CB176" s="15"/>
      <c r="CC176" s="15"/>
      <c r="CD176" s="15"/>
      <c r="CE176" s="8"/>
      <c r="CF176" s="8"/>
      <c r="CG176" s="8"/>
      <c r="CK176" s="15"/>
      <c r="CL176" s="15"/>
      <c r="CM176" s="15"/>
      <c r="CN176" s="15"/>
      <c r="CO176" s="8">
        <v>0.38410636484622962</v>
      </c>
      <c r="CP176" s="8">
        <v>1023.768535555905</v>
      </c>
      <c r="CQ176" s="56">
        <v>41091</v>
      </c>
      <c r="CR176" s="8">
        <v>0</v>
      </c>
      <c r="CS176" s="8">
        <v>1227.7441051602368</v>
      </c>
      <c r="CT176" s="8">
        <v>0</v>
      </c>
      <c r="CU176" s="8">
        <v>903.69</v>
      </c>
    </row>
    <row r="177" spans="1:105" x14ac:dyDescent="0.25">
      <c r="A177" s="56">
        <v>37681</v>
      </c>
      <c r="B177" s="8">
        <v>973.95967483520519</v>
      </c>
      <c r="C177" s="8">
        <v>312.92315834760689</v>
      </c>
      <c r="D177" s="8">
        <v>13868.394822230281</v>
      </c>
      <c r="E177" s="8">
        <v>2826.115234375</v>
      </c>
      <c r="AG177">
        <v>2012</v>
      </c>
      <c r="AH177">
        <v>5</v>
      </c>
      <c r="AI177" s="51">
        <v>143.62392607750357</v>
      </c>
      <c r="AJ177" s="51">
        <v>0</v>
      </c>
      <c r="CB177" s="15"/>
      <c r="CC177" s="15"/>
      <c r="CD177" s="15"/>
      <c r="CE177" s="8"/>
      <c r="CF177" s="8"/>
      <c r="CG177" s="8"/>
      <c r="CK177" s="15"/>
      <c r="CL177" s="15"/>
      <c r="CM177" s="15"/>
      <c r="CN177" s="15"/>
      <c r="CO177" s="8">
        <v>1.038090568780899</v>
      </c>
      <c r="CP177" s="8">
        <v>9.587510728836067</v>
      </c>
      <c r="CQ177" s="56">
        <v>41122</v>
      </c>
      <c r="CR177" s="8">
        <v>0</v>
      </c>
      <c r="CS177" s="8">
        <v>52.290905768051708</v>
      </c>
      <c r="CT177" s="8">
        <v>0</v>
      </c>
      <c r="CU177" s="8">
        <v>280.54000000000002</v>
      </c>
    </row>
    <row r="178" spans="1:105" x14ac:dyDescent="0.25">
      <c r="A178" s="56">
        <v>37712</v>
      </c>
      <c r="B178" s="8">
        <v>0</v>
      </c>
      <c r="C178" s="8">
        <v>18.613645720481895</v>
      </c>
      <c r="D178" s="8">
        <v>770.74545108694542</v>
      </c>
      <c r="E178" s="8">
        <v>0</v>
      </c>
      <c r="AG178">
        <v>2012</v>
      </c>
      <c r="AH178">
        <v>6</v>
      </c>
      <c r="AI178" s="51">
        <v>676.68121103290548</v>
      </c>
      <c r="AJ178" s="51">
        <v>0</v>
      </c>
      <c r="CB178" s="15"/>
      <c r="CC178" s="15"/>
      <c r="CD178" s="15"/>
      <c r="CE178" s="8"/>
      <c r="CF178" s="8"/>
      <c r="CG178" s="8"/>
      <c r="CK178" s="15"/>
      <c r="CL178" s="15"/>
      <c r="CM178" s="15"/>
      <c r="CN178" s="15"/>
      <c r="CO178" s="8">
        <v>36.014831975102432</v>
      </c>
      <c r="CP178" s="8">
        <v>0</v>
      </c>
      <c r="CQ178" s="56">
        <v>41153</v>
      </c>
      <c r="CR178" s="8">
        <v>357.97922229766897</v>
      </c>
      <c r="CS178" s="8">
        <v>0</v>
      </c>
      <c r="CT178" s="8">
        <v>0</v>
      </c>
      <c r="CU178" s="8">
        <v>0</v>
      </c>
    </row>
    <row r="179" spans="1:105" x14ac:dyDescent="0.25">
      <c r="A179" s="56">
        <v>37742</v>
      </c>
      <c r="B179" s="8">
        <v>0</v>
      </c>
      <c r="C179" s="8">
        <v>178.76215124130258</v>
      </c>
      <c r="D179" s="8">
        <v>776.55175144523321</v>
      </c>
      <c r="E179" s="8">
        <v>0</v>
      </c>
      <c r="AG179">
        <v>2012</v>
      </c>
      <c r="AH179">
        <v>7</v>
      </c>
      <c r="AI179" s="51">
        <v>27548.733919936345</v>
      </c>
      <c r="AJ179" s="51">
        <v>2810.0471313148742</v>
      </c>
      <c r="CB179" s="15"/>
      <c r="CC179" s="15"/>
      <c r="CD179" s="15"/>
      <c r="CE179" s="8"/>
      <c r="CF179" s="8"/>
      <c r="CG179" s="8"/>
      <c r="CK179" s="15"/>
      <c r="CL179" s="15"/>
      <c r="CM179" s="15"/>
      <c r="CN179" s="15"/>
      <c r="CO179" s="8">
        <v>59.493280298297783</v>
      </c>
      <c r="CP179" s="8">
        <v>0</v>
      </c>
      <c r="CQ179" s="56">
        <v>41183</v>
      </c>
      <c r="CR179" s="8">
        <v>555.59687441587437</v>
      </c>
      <c r="CS179" s="8">
        <v>0</v>
      </c>
      <c r="CT179" s="8">
        <v>0</v>
      </c>
      <c r="CU179" s="8">
        <v>0</v>
      </c>
    </row>
    <row r="180" spans="1:105" x14ac:dyDescent="0.25">
      <c r="A180" s="56">
        <v>37773</v>
      </c>
      <c r="B180" s="8">
        <v>0</v>
      </c>
      <c r="C180" s="8">
        <v>571.2992464780807</v>
      </c>
      <c r="D180" s="8">
        <v>0</v>
      </c>
      <c r="E180" s="8">
        <v>0</v>
      </c>
      <c r="AG180">
        <v>2012</v>
      </c>
      <c r="AH180">
        <v>8</v>
      </c>
      <c r="AI180" s="51">
        <v>218.79441157542186</v>
      </c>
      <c r="AJ180" s="51">
        <v>0</v>
      </c>
      <c r="CB180" s="15"/>
      <c r="CC180" s="15"/>
      <c r="CD180" s="15"/>
      <c r="CE180" s="8"/>
      <c r="CF180" s="8"/>
      <c r="CG180" s="8"/>
      <c r="CK180" s="15"/>
      <c r="CL180" s="15"/>
      <c r="CM180" s="15"/>
      <c r="CN180" s="15"/>
      <c r="CO180" s="8">
        <v>1715.437328970432</v>
      </c>
      <c r="CP180" s="8">
        <v>0</v>
      </c>
      <c r="CQ180" s="56">
        <v>41214</v>
      </c>
      <c r="CR180" s="8">
        <v>1208.7498004089575</v>
      </c>
      <c r="CS180" s="8">
        <v>0</v>
      </c>
      <c r="CT180" s="8">
        <v>0</v>
      </c>
      <c r="CU180" s="8">
        <v>0</v>
      </c>
      <c r="CV180" s="56">
        <f>CQ180</f>
        <v>41214</v>
      </c>
      <c r="CW180" s="8">
        <f>SUM(CR176:CR184)+SUM(CO176:CO184)</f>
        <v>22297.833435274209</v>
      </c>
      <c r="CX180" s="8">
        <f>SUM(CS168:CS179)+SUM(CP168:CP179)</f>
        <v>29959.671887491062</v>
      </c>
      <c r="CY180" s="8">
        <f t="shared" ref="CY180" si="174">SUM(CT168:CT179)</f>
        <v>6.2729949951171884</v>
      </c>
      <c r="CZ180" s="8">
        <f>SUM(CU168:CU179)</f>
        <v>6723.1150000000007</v>
      </c>
    </row>
    <row r="181" spans="1:105" x14ac:dyDescent="0.25">
      <c r="A181" s="56">
        <v>37803</v>
      </c>
      <c r="B181" s="8">
        <v>0</v>
      </c>
      <c r="C181" s="8">
        <v>790.13097778856752</v>
      </c>
      <c r="D181" s="8">
        <v>0</v>
      </c>
      <c r="E181" s="8">
        <v>0</v>
      </c>
      <c r="AG181">
        <v>2012</v>
      </c>
      <c r="AH181">
        <v>9</v>
      </c>
      <c r="AI181" s="51">
        <v>726.66274935007038</v>
      </c>
      <c r="AJ181" s="51">
        <v>0</v>
      </c>
      <c r="CB181" s="15"/>
      <c r="CC181" s="15"/>
      <c r="CD181" s="15"/>
      <c r="CE181" s="8"/>
      <c r="CF181" s="8"/>
      <c r="CG181" s="8"/>
      <c r="CK181" s="15"/>
      <c r="CL181" s="15"/>
      <c r="CM181" s="15"/>
      <c r="CN181" s="15"/>
      <c r="CO181" s="8">
        <v>3855.2995712383936</v>
      </c>
      <c r="CP181" s="8">
        <v>212.67975433468803</v>
      </c>
      <c r="CQ181" s="56">
        <v>41244</v>
      </c>
      <c r="CR181" s="8">
        <v>1745.1275556762707</v>
      </c>
      <c r="CS181" s="8">
        <v>0</v>
      </c>
      <c r="CT181" s="8">
        <v>0</v>
      </c>
      <c r="CU181" s="8">
        <v>47.981000000000002</v>
      </c>
      <c r="CW181" s="8"/>
      <c r="CX181" s="8">
        <f>SUM(CS168:CS172)+SUM(CP168:CP172)</f>
        <v>24770.198040897129</v>
      </c>
      <c r="CY181" s="8">
        <f t="shared" ref="CY181" si="175">SUM(CT168:CT172)</f>
        <v>6.2729949951171884</v>
      </c>
      <c r="CZ181" s="8">
        <f t="shared" ref="CZ181" si="176">SUM(CU168:CU172)</f>
        <v>5514.7780000000002</v>
      </c>
      <c r="DA181" s="8">
        <f>SUM(CX181:CZ181)</f>
        <v>30291.249035892244</v>
      </c>
    </row>
    <row r="182" spans="1:105" x14ac:dyDescent="0.25">
      <c r="A182" s="56">
        <v>37834</v>
      </c>
      <c r="B182" s="8">
        <v>0</v>
      </c>
      <c r="C182" s="8">
        <v>806.08323674201972</v>
      </c>
      <c r="D182" s="8">
        <v>1095.1081325069074</v>
      </c>
      <c r="E182" s="8">
        <v>0</v>
      </c>
      <c r="AG182">
        <v>2012</v>
      </c>
      <c r="AH182">
        <v>10</v>
      </c>
      <c r="AI182" s="51">
        <v>1006.0746478759681</v>
      </c>
      <c r="AJ182" s="51">
        <v>0</v>
      </c>
      <c r="AK182">
        <f>AG182</f>
        <v>2012</v>
      </c>
      <c r="AL182" s="8">
        <f>SUM(AI179:AI182)</f>
        <v>29500.265728737806</v>
      </c>
      <c r="AM182" s="8">
        <f>SUM(AJ171:AJ182)</f>
        <v>52032.055401578553</v>
      </c>
      <c r="CB182" s="15"/>
      <c r="CC182" s="15"/>
      <c r="CD182" s="15"/>
      <c r="CE182" s="8"/>
      <c r="CF182" s="10"/>
      <c r="CG182" s="8"/>
      <c r="CH182" s="8"/>
      <c r="CK182" s="15"/>
      <c r="CL182" s="15"/>
      <c r="CM182" s="15"/>
      <c r="CN182" s="15"/>
      <c r="CO182" s="8">
        <v>6543.1046230494976</v>
      </c>
      <c r="CP182" s="8">
        <v>710.74834766034041</v>
      </c>
      <c r="CQ182" s="56">
        <v>41275</v>
      </c>
      <c r="CR182" s="8">
        <v>2448.8246812443244</v>
      </c>
      <c r="CS182" s="8">
        <v>440.99159689946089</v>
      </c>
      <c r="CT182" s="8">
        <v>0</v>
      </c>
      <c r="CU182" s="8">
        <v>4003.6</v>
      </c>
    </row>
    <row r="183" spans="1:105" x14ac:dyDescent="0.25">
      <c r="A183" s="56">
        <v>37865</v>
      </c>
      <c r="B183" s="8">
        <v>0</v>
      </c>
      <c r="C183" s="8">
        <v>3655.8259183406817</v>
      </c>
      <c r="D183" s="8">
        <v>19.744623565673809</v>
      </c>
      <c r="E183" s="8">
        <v>0</v>
      </c>
      <c r="AG183">
        <v>2012</v>
      </c>
      <c r="AH183">
        <v>11</v>
      </c>
      <c r="AI183" s="51">
        <v>35433.667305707924</v>
      </c>
      <c r="AJ183" s="51">
        <v>0</v>
      </c>
      <c r="CB183" s="15"/>
      <c r="CC183" s="15"/>
      <c r="CD183" s="15"/>
      <c r="CE183" s="8"/>
      <c r="CF183" s="8"/>
      <c r="CG183" s="8"/>
      <c r="CK183" s="15"/>
      <c r="CL183" s="15"/>
      <c r="CM183" s="15"/>
      <c r="CN183" s="15"/>
      <c r="CO183" s="8">
        <v>229.59864063262933</v>
      </c>
      <c r="CP183" s="8">
        <v>445.86953747272486</v>
      </c>
      <c r="CQ183" s="56">
        <v>41306</v>
      </c>
      <c r="CR183" s="8">
        <v>2524.4702827930437</v>
      </c>
      <c r="CS183" s="8">
        <v>1855.0033652302802</v>
      </c>
      <c r="CT183" s="8">
        <v>0</v>
      </c>
      <c r="CU183" s="8">
        <v>8611.1</v>
      </c>
    </row>
    <row r="184" spans="1:105" x14ac:dyDescent="0.25">
      <c r="A184" s="56">
        <v>37895</v>
      </c>
      <c r="B184" s="8">
        <v>1053.3096046447756</v>
      </c>
      <c r="C184" s="8">
        <v>480.58417692780506</v>
      </c>
      <c r="D184" s="8">
        <v>2748.4387220434842</v>
      </c>
      <c r="E184" s="8">
        <v>0</v>
      </c>
      <c r="AG184">
        <v>2012</v>
      </c>
      <c r="AH184">
        <v>12</v>
      </c>
      <c r="AI184" s="51">
        <v>81663.940328956553</v>
      </c>
      <c r="AJ184" s="51">
        <v>283.52136230468801</v>
      </c>
      <c r="CB184" s="15"/>
      <c r="CC184" s="15"/>
      <c r="CD184" s="15"/>
      <c r="CE184" s="8"/>
      <c r="CF184" s="8"/>
      <c r="CG184" s="8"/>
      <c r="CK184" s="15"/>
      <c r="CL184" s="15"/>
      <c r="CM184" s="15"/>
      <c r="CN184" s="15"/>
      <c r="CO184" s="8">
        <v>20.776299075037251</v>
      </c>
      <c r="CP184" s="8">
        <v>958.02178198071169</v>
      </c>
      <c r="CQ184" s="56">
        <v>41334</v>
      </c>
      <c r="CR184" s="8">
        <v>995.93824626505375</v>
      </c>
      <c r="CS184" s="8">
        <v>1403.661365452688</v>
      </c>
      <c r="CT184" s="8">
        <v>0</v>
      </c>
      <c r="CU184" s="8">
        <v>2240.8000000000002</v>
      </c>
    </row>
    <row r="185" spans="1:105" x14ac:dyDescent="0.25">
      <c r="A185" s="56">
        <v>37926</v>
      </c>
      <c r="B185" s="8">
        <v>1545.4457855224609</v>
      </c>
      <c r="C185" s="8">
        <v>4523.6867816448221</v>
      </c>
      <c r="D185" s="8">
        <v>0</v>
      </c>
      <c r="E185" s="8">
        <v>0</v>
      </c>
      <c r="F185" s="56">
        <f>A185</f>
        <v>37926</v>
      </c>
      <c r="G185" s="8">
        <f>SUM(B181:B189)</f>
        <v>7764.6473159790039</v>
      </c>
      <c r="H185" s="8">
        <f>SUM(C181:C185)</f>
        <v>10256.311091443895</v>
      </c>
      <c r="I185" s="8">
        <f>SUM(D174:D185)</f>
        <v>47217.727039505844</v>
      </c>
      <c r="J185" s="8">
        <f>SUM(E173:E184)</f>
        <v>2826.115234375</v>
      </c>
      <c r="AG185">
        <v>2013</v>
      </c>
      <c r="AH185">
        <v>1</v>
      </c>
      <c r="AI185" s="51">
        <v>160364.96987122297</v>
      </c>
      <c r="AJ185" s="51">
        <v>3674.369506835943</v>
      </c>
      <c r="CB185" s="15"/>
      <c r="CC185" s="15"/>
      <c r="CD185" s="15"/>
      <c r="CE185" s="8"/>
      <c r="CF185" s="8"/>
      <c r="CG185" s="8"/>
      <c r="CK185" s="15"/>
      <c r="CL185" s="15"/>
      <c r="CM185" s="15"/>
      <c r="CN185" s="15"/>
      <c r="CO185" s="8">
        <v>1.8760755360126518</v>
      </c>
      <c r="CP185" s="8">
        <v>0</v>
      </c>
      <c r="CQ185" s="56">
        <v>41365</v>
      </c>
      <c r="CR185" s="8">
        <v>6.0905599594116202</v>
      </c>
      <c r="CS185" s="8">
        <v>0</v>
      </c>
      <c r="CT185" s="8">
        <v>0</v>
      </c>
      <c r="CU185" s="8">
        <v>756.31</v>
      </c>
    </row>
    <row r="186" spans="1:105" x14ac:dyDescent="0.25">
      <c r="A186" s="56">
        <v>37956</v>
      </c>
      <c r="B186" s="8">
        <v>1675.5499649047854</v>
      </c>
      <c r="C186" s="8">
        <v>7897.3983134031314</v>
      </c>
      <c r="D186" s="8">
        <v>1204.9025729652494</v>
      </c>
      <c r="E186" s="8">
        <v>0</v>
      </c>
      <c r="AG186">
        <v>2013</v>
      </c>
      <c r="AH186">
        <v>2</v>
      </c>
      <c r="AI186" s="51">
        <v>23262.71220753761</v>
      </c>
      <c r="AJ186" s="51">
        <v>31.05908203125</v>
      </c>
      <c r="CB186" s="15"/>
      <c r="CC186" s="15"/>
      <c r="CD186" s="15"/>
      <c r="CE186" s="8"/>
      <c r="CF186" s="8"/>
      <c r="CG186" s="8"/>
      <c r="CK186" s="15"/>
      <c r="CL186" s="15"/>
      <c r="CM186" s="15"/>
      <c r="CN186" s="15"/>
      <c r="CO186" s="8">
        <v>1.7341141432523746</v>
      </c>
      <c r="CP186" s="8">
        <v>0</v>
      </c>
      <c r="CQ186" s="56">
        <v>41395</v>
      </c>
      <c r="CR186" s="8">
        <v>0</v>
      </c>
      <c r="CS186" s="8">
        <v>0</v>
      </c>
      <c r="CT186" s="8">
        <v>0</v>
      </c>
      <c r="CU186" s="8">
        <v>9.8556000000000008</v>
      </c>
    </row>
    <row r="187" spans="1:105" x14ac:dyDescent="0.25">
      <c r="A187" s="56">
        <v>37987</v>
      </c>
      <c r="B187" s="8">
        <v>945.56262207031239</v>
      </c>
      <c r="C187" s="8">
        <v>7345.7360343933105</v>
      </c>
      <c r="D187" s="8">
        <v>29557.520583112528</v>
      </c>
      <c r="E187" s="8">
        <v>29147.246875000001</v>
      </c>
      <c r="AG187">
        <v>2013</v>
      </c>
      <c r="AH187">
        <v>3</v>
      </c>
      <c r="AI187" s="51">
        <v>24011.033844739672</v>
      </c>
      <c r="AJ187" s="51">
        <v>1098.4420987367635</v>
      </c>
      <c r="AO187">
        <f>AG182</f>
        <v>2012</v>
      </c>
      <c r="AP187" s="8">
        <f>SUM(AI183:AI187)</f>
        <v>324736.32355816476</v>
      </c>
      <c r="AQ187" s="8">
        <f>SUM(AJ183:AJ187)</f>
        <v>5087.3920499086444</v>
      </c>
      <c r="CB187" s="15"/>
      <c r="CC187" s="15"/>
      <c r="CD187" s="15"/>
      <c r="CE187" s="8"/>
      <c r="CF187" s="8"/>
      <c r="CG187" s="8"/>
      <c r="CK187" s="15"/>
      <c r="CL187" s="15"/>
      <c r="CM187" s="15"/>
      <c r="CN187" s="15"/>
      <c r="CO187" s="8">
        <v>0.66945358440279967</v>
      </c>
      <c r="CP187" s="8">
        <v>15.715888836566592</v>
      </c>
      <c r="CQ187" s="56">
        <v>41426</v>
      </c>
      <c r="CR187" s="8">
        <v>0</v>
      </c>
      <c r="CS187" s="8">
        <v>25.823339700698799</v>
      </c>
      <c r="CT187" s="8">
        <v>0</v>
      </c>
      <c r="CU187" s="8">
        <v>311.63</v>
      </c>
    </row>
    <row r="188" spans="1:105" x14ac:dyDescent="0.25">
      <c r="A188" s="56">
        <v>38018</v>
      </c>
      <c r="B188" s="8">
        <v>1295.2576293945315</v>
      </c>
      <c r="C188" s="8">
        <v>317.25149346590041</v>
      </c>
      <c r="D188" s="8">
        <v>30.493065408803524</v>
      </c>
      <c r="E188" s="8">
        <v>0</v>
      </c>
      <c r="AG188">
        <v>2013</v>
      </c>
      <c r="AH188">
        <v>4</v>
      </c>
      <c r="AI188" s="51">
        <v>37.521510720253033</v>
      </c>
      <c r="AJ188" s="51">
        <v>0</v>
      </c>
      <c r="CB188" s="15"/>
      <c r="CC188" s="15"/>
      <c r="CD188" s="15"/>
      <c r="CE188" s="8"/>
      <c r="CF188" s="8"/>
      <c r="CG188" s="8"/>
      <c r="CK188" s="15"/>
      <c r="CL188" s="15"/>
      <c r="CM188" s="15"/>
      <c r="CN188" s="15"/>
      <c r="CO188" s="8">
        <v>3.2665430784225458</v>
      </c>
      <c r="CP188" s="8">
        <v>11.491796620166848</v>
      </c>
      <c r="CQ188" s="56">
        <v>41456</v>
      </c>
      <c r="CR188" s="8">
        <v>63.681853711605072</v>
      </c>
      <c r="CS188" s="8">
        <v>20.137031193822665</v>
      </c>
      <c r="CT188" s="8">
        <v>0</v>
      </c>
      <c r="CU188" s="8">
        <v>1137.0999999999999</v>
      </c>
    </row>
    <row r="189" spans="1:105" x14ac:dyDescent="0.25">
      <c r="A189" s="56">
        <v>38047</v>
      </c>
      <c r="B189" s="8">
        <v>1249.5217094421387</v>
      </c>
      <c r="C189" s="8">
        <v>91.217308855056785</v>
      </c>
      <c r="D189" s="8">
        <v>0</v>
      </c>
      <c r="E189" s="8">
        <v>0</v>
      </c>
      <c r="AG189">
        <v>2013</v>
      </c>
      <c r="AH189">
        <v>5</v>
      </c>
      <c r="AI189" s="51">
        <v>34.68228286504749</v>
      </c>
      <c r="AJ189" s="51">
        <v>0</v>
      </c>
      <c r="CB189" s="15"/>
      <c r="CC189" s="15"/>
      <c r="CD189" s="15"/>
      <c r="CE189" s="8"/>
      <c r="CF189" s="8"/>
      <c r="CG189" s="8"/>
      <c r="CK189" s="15"/>
      <c r="CL189" s="15"/>
      <c r="CM189" s="15"/>
      <c r="CN189" s="15"/>
      <c r="CO189" s="8">
        <v>41.026289835572243</v>
      </c>
      <c r="CP189" s="8">
        <v>0</v>
      </c>
      <c r="CQ189" s="56">
        <v>41487</v>
      </c>
      <c r="CR189" s="8">
        <v>92.222377777099638</v>
      </c>
      <c r="CS189" s="8">
        <v>13.116031646728519</v>
      </c>
      <c r="CT189" s="8">
        <v>0</v>
      </c>
      <c r="CU189" s="8">
        <v>393.65</v>
      </c>
    </row>
    <row r="190" spans="1:105" x14ac:dyDescent="0.25">
      <c r="A190" s="56">
        <v>38078</v>
      </c>
      <c r="B190" s="8">
        <v>0</v>
      </c>
      <c r="C190" s="8">
        <v>25.831729459762574</v>
      </c>
      <c r="D190" s="8">
        <v>0</v>
      </c>
      <c r="E190" s="8">
        <v>0</v>
      </c>
      <c r="AG190">
        <v>2013</v>
      </c>
      <c r="AH190">
        <v>6</v>
      </c>
      <c r="AI190" s="51">
        <v>352.9859141558411</v>
      </c>
      <c r="AJ190" s="51">
        <v>0</v>
      </c>
      <c r="CB190" s="15"/>
      <c r="CC190" s="15"/>
      <c r="CD190" s="15"/>
      <c r="CE190" s="8"/>
      <c r="CF190" s="8"/>
      <c r="CG190" s="8"/>
      <c r="CK190" s="15"/>
      <c r="CL190" s="15"/>
      <c r="CM190" s="15"/>
      <c r="CN190" s="15"/>
      <c r="CO190" s="8">
        <v>1184.5625449916349</v>
      </c>
      <c r="CP190" s="8">
        <v>46.890380886197107</v>
      </c>
      <c r="CQ190" s="56">
        <v>41518</v>
      </c>
      <c r="CR190" s="8">
        <v>723.64072352647781</v>
      </c>
      <c r="CS190" s="8">
        <v>44.398751258850098</v>
      </c>
      <c r="CT190" s="8">
        <v>0</v>
      </c>
      <c r="CU190" s="8">
        <v>1.8455999999999999</v>
      </c>
    </row>
    <row r="191" spans="1:105" x14ac:dyDescent="0.25">
      <c r="A191" s="56">
        <v>38108</v>
      </c>
      <c r="B191" s="8">
        <v>0</v>
      </c>
      <c r="C191" s="8">
        <v>30.662567996978801</v>
      </c>
      <c r="D191" s="8">
        <v>0</v>
      </c>
      <c r="E191" s="8">
        <v>0</v>
      </c>
      <c r="AG191">
        <v>2013</v>
      </c>
      <c r="AH191">
        <v>7</v>
      </c>
      <c r="AI191" s="51">
        <v>2301.6873863171791</v>
      </c>
      <c r="AJ191" s="51">
        <v>0</v>
      </c>
      <c r="CB191" s="15"/>
      <c r="CC191" s="15"/>
      <c r="CD191" s="15"/>
      <c r="CE191" s="8"/>
      <c r="CF191" s="8"/>
      <c r="CG191" s="8"/>
      <c r="CK191" s="15"/>
      <c r="CL191" s="15"/>
      <c r="CM191" s="15"/>
      <c r="CN191" s="15"/>
      <c r="CO191" s="8">
        <v>500.02384315580133</v>
      </c>
      <c r="CP191" s="8">
        <v>0</v>
      </c>
      <c r="CQ191" s="56">
        <v>41548</v>
      </c>
      <c r="CR191" s="8">
        <v>691.27038234658505</v>
      </c>
      <c r="CS191" s="8">
        <v>5.3876382112503096</v>
      </c>
      <c r="CT191" s="8">
        <v>0</v>
      </c>
      <c r="CU191" s="8">
        <v>0</v>
      </c>
    </row>
    <row r="192" spans="1:105" x14ac:dyDescent="0.25">
      <c r="A192" s="56">
        <v>38139</v>
      </c>
      <c r="B192" s="8">
        <v>0</v>
      </c>
      <c r="C192" s="8">
        <v>122.75012135505672</v>
      </c>
      <c r="D192" s="8">
        <v>0</v>
      </c>
      <c r="E192" s="8">
        <v>0</v>
      </c>
      <c r="AG192">
        <v>2013</v>
      </c>
      <c r="AH192">
        <v>8</v>
      </c>
      <c r="AI192" s="51">
        <v>4400.4211781620997</v>
      </c>
      <c r="AJ192" s="51">
        <v>0</v>
      </c>
      <c r="CB192" s="15"/>
      <c r="CC192" s="15"/>
      <c r="CD192" s="15"/>
      <c r="CE192" s="8"/>
      <c r="CF192" s="8"/>
      <c r="CG192" s="8"/>
      <c r="CK192" s="15"/>
      <c r="CL192" s="15"/>
      <c r="CM192" s="15"/>
      <c r="CN192" s="15"/>
      <c r="CO192" s="8">
        <v>2375.0532258391381</v>
      </c>
      <c r="CP192" s="8">
        <v>28.21285028457643</v>
      </c>
      <c r="CQ192" s="56">
        <v>41579</v>
      </c>
      <c r="CR192" s="8">
        <v>1081.2329442615155</v>
      </c>
      <c r="CS192" s="8">
        <v>0</v>
      </c>
      <c r="CT192" s="8">
        <v>0</v>
      </c>
      <c r="CU192" s="8">
        <v>17.925000000000001</v>
      </c>
      <c r="CV192" s="56">
        <f>CQ192</f>
        <v>41579</v>
      </c>
      <c r="CW192" s="8">
        <f>SUM(CR188:CR196)+SUM(CO188:CO196)</f>
        <v>23430.345064879584</v>
      </c>
      <c r="CX192" s="8">
        <f>SUM(CS180:CS191)+SUM(CP180:CP191)</f>
        <v>6209.9366073851743</v>
      </c>
      <c r="CY192" s="8">
        <f t="shared" ref="CY192" si="177">SUM(CT180:CT191)</f>
        <v>0</v>
      </c>
      <c r="CZ192" s="8">
        <f>SUM(CU180:CU191)</f>
        <v>17513.872200000002</v>
      </c>
    </row>
    <row r="193" spans="1:105" x14ac:dyDescent="0.25">
      <c r="A193" s="56">
        <v>38169</v>
      </c>
      <c r="B193" s="8">
        <v>0</v>
      </c>
      <c r="C193" s="8">
        <v>609.57727766037021</v>
      </c>
      <c r="D193" s="8">
        <v>0</v>
      </c>
      <c r="E193" s="8">
        <v>0</v>
      </c>
      <c r="AG193">
        <v>2013</v>
      </c>
      <c r="AH193">
        <v>9</v>
      </c>
      <c r="AI193" s="51">
        <v>31067.818599799655</v>
      </c>
      <c r="AJ193" s="51">
        <v>0</v>
      </c>
      <c r="CB193" s="15"/>
      <c r="CC193" s="15"/>
      <c r="CD193" s="15"/>
      <c r="CE193" s="8"/>
      <c r="CF193" s="8"/>
      <c r="CG193" s="8"/>
      <c r="CK193" s="15"/>
      <c r="CL193" s="15"/>
      <c r="CM193" s="15"/>
      <c r="CN193" s="15"/>
      <c r="CO193" s="8">
        <v>3823.9374587595471</v>
      </c>
      <c r="CP193" s="8">
        <v>0</v>
      </c>
      <c r="CQ193" s="56">
        <v>41609</v>
      </c>
      <c r="CR193" s="8">
        <v>1948.2245606461074</v>
      </c>
      <c r="CS193" s="8">
        <v>41.372335433960004</v>
      </c>
      <c r="CT193" s="8">
        <v>0</v>
      </c>
      <c r="CU193" s="8">
        <v>361.06</v>
      </c>
      <c r="CW193" s="8"/>
      <c r="CX193" s="8">
        <f>SUM(CS180:CS184)+SUM(CP180:CP184)</f>
        <v>6026.9757490308939</v>
      </c>
      <c r="CY193" s="8">
        <f t="shared" ref="CY193" si="178">SUM(CT180:CT184)</f>
        <v>0</v>
      </c>
      <c r="CZ193" s="8">
        <f t="shared" ref="CZ193" si="179">SUM(CU180:CU184)</f>
        <v>14903.481</v>
      </c>
      <c r="DA193" s="8">
        <f>SUM(CX193:CZ193)</f>
        <v>20930.456749030895</v>
      </c>
    </row>
    <row r="194" spans="1:105" x14ac:dyDescent="0.25">
      <c r="A194" s="56">
        <v>38200</v>
      </c>
      <c r="B194" s="8">
        <v>0</v>
      </c>
      <c r="C194" s="8">
        <v>813.5774178504945</v>
      </c>
      <c r="D194" s="8">
        <v>6.3812255859375042E-2</v>
      </c>
      <c r="E194" s="8">
        <v>0</v>
      </c>
      <c r="AG194">
        <v>2013</v>
      </c>
      <c r="AH194">
        <v>10</v>
      </c>
      <c r="AI194" s="51">
        <v>13598.007762869354</v>
      </c>
      <c r="AJ194" s="51">
        <v>0</v>
      </c>
      <c r="AK194">
        <f>AG194</f>
        <v>2013</v>
      </c>
      <c r="AL194" s="8">
        <f>SUM(AI191:AI194)</f>
        <v>51367.934927148286</v>
      </c>
      <c r="AM194" s="8">
        <f>SUM(AJ183:AJ194)</f>
        <v>5087.3920499086444</v>
      </c>
      <c r="CB194" s="15"/>
      <c r="CC194" s="15"/>
      <c r="CD194" s="15"/>
      <c r="CE194" s="8"/>
      <c r="CF194" s="10"/>
      <c r="CG194" s="8"/>
      <c r="CH194" s="8"/>
      <c r="CK194" s="15"/>
      <c r="CL194" s="15"/>
      <c r="CM194" s="15"/>
      <c r="CN194" s="15"/>
      <c r="CO194" s="8">
        <v>5376.6618344306953</v>
      </c>
      <c r="CP194" s="8">
        <v>0</v>
      </c>
      <c r="CQ194" s="56">
        <v>41640</v>
      </c>
      <c r="CR194" s="8">
        <v>1515.2564495615661</v>
      </c>
      <c r="CS194" s="8">
        <v>13.199012041091899</v>
      </c>
      <c r="CT194" s="8">
        <v>0</v>
      </c>
      <c r="CU194" s="8">
        <v>0</v>
      </c>
    </row>
    <row r="195" spans="1:105" x14ac:dyDescent="0.25">
      <c r="A195" s="56">
        <v>38231</v>
      </c>
      <c r="B195" s="8">
        <v>0</v>
      </c>
      <c r="C195" s="8">
        <v>940.05198053121569</v>
      </c>
      <c r="D195" s="8">
        <v>3416.5079760506742</v>
      </c>
      <c r="E195" s="8">
        <v>0</v>
      </c>
      <c r="AG195">
        <v>2013</v>
      </c>
      <c r="AH195">
        <v>11</v>
      </c>
      <c r="AI195" s="51">
        <v>59453.907050743699</v>
      </c>
      <c r="AJ195" s="51">
        <v>0</v>
      </c>
      <c r="CB195" s="15"/>
      <c r="CC195" s="15"/>
      <c r="CD195" s="15"/>
      <c r="CE195" s="8"/>
      <c r="CF195" s="8"/>
      <c r="CG195" s="8"/>
      <c r="CK195" s="15"/>
      <c r="CL195" s="15"/>
      <c r="CM195" s="15"/>
      <c r="CN195" s="15"/>
      <c r="CO195" s="8">
        <v>1664.72228477914</v>
      </c>
      <c r="CP195" s="8">
        <v>0</v>
      </c>
      <c r="CQ195" s="56">
        <v>41671</v>
      </c>
      <c r="CR195" s="8">
        <v>1326.4664449784902</v>
      </c>
      <c r="CS195" s="8">
        <v>7.0220212936401403</v>
      </c>
      <c r="CT195" s="8">
        <v>0</v>
      </c>
      <c r="CU195" s="8">
        <v>29.533000000000001</v>
      </c>
    </row>
    <row r="196" spans="1:105" x14ac:dyDescent="0.25">
      <c r="A196" s="56">
        <v>38261</v>
      </c>
      <c r="B196" s="8">
        <v>855.42309951782215</v>
      </c>
      <c r="C196" s="8">
        <v>144.36432332992555</v>
      </c>
      <c r="D196" s="8">
        <v>166.61390094757076</v>
      </c>
      <c r="E196" s="8">
        <v>0</v>
      </c>
      <c r="AG196">
        <v>2013</v>
      </c>
      <c r="AH196">
        <v>12</v>
      </c>
      <c r="AI196" s="51">
        <v>92526.847740262776</v>
      </c>
      <c r="AJ196" s="51">
        <v>0</v>
      </c>
      <c r="CB196" s="15"/>
      <c r="CC196" s="15"/>
      <c r="CD196" s="15"/>
      <c r="CE196" s="8"/>
      <c r="CF196" s="8"/>
      <c r="CG196" s="8"/>
      <c r="CK196" s="15"/>
      <c r="CL196" s="15"/>
      <c r="CM196" s="15"/>
      <c r="CN196" s="15"/>
      <c r="CO196" s="8">
        <v>415.26537036150688</v>
      </c>
      <c r="CP196" s="8">
        <v>260.87942713797082</v>
      </c>
      <c r="CQ196" s="56">
        <v>41699</v>
      </c>
      <c r="CR196" s="8">
        <v>603.82993283867813</v>
      </c>
      <c r="CS196" s="8">
        <v>211.60710334777841</v>
      </c>
      <c r="CT196" s="8">
        <v>0</v>
      </c>
      <c r="CU196" s="8">
        <v>18.965</v>
      </c>
    </row>
    <row r="197" spans="1:105" x14ac:dyDescent="0.25">
      <c r="A197" s="56">
        <v>38292</v>
      </c>
      <c r="B197" s="8">
        <v>645.60361480712879</v>
      </c>
      <c r="C197" s="8">
        <v>1870.7556457519536</v>
      </c>
      <c r="D197" s="8">
        <v>1497.4278664512592</v>
      </c>
      <c r="E197" s="8">
        <v>0</v>
      </c>
      <c r="F197" s="56">
        <f>A197</f>
        <v>38292</v>
      </c>
      <c r="G197" s="8">
        <f>SUM(B193:B201)</f>
        <v>7931.7212867736807</v>
      </c>
      <c r="H197" s="8">
        <f>SUM(C193:C197)</f>
        <v>4378.3266451239597</v>
      </c>
      <c r="I197" s="8">
        <f>SUM(D186:D197)</f>
        <v>35873.52977719195</v>
      </c>
      <c r="J197" s="8">
        <f>SUM(E185:E196)</f>
        <v>29147.246875000001</v>
      </c>
      <c r="AG197">
        <v>2014</v>
      </c>
      <c r="AH197">
        <v>1</v>
      </c>
      <c r="AI197" s="51">
        <v>130244.99790406226</v>
      </c>
      <c r="AJ197" s="51">
        <v>0</v>
      </c>
      <c r="CB197" s="15"/>
      <c r="CC197" s="15"/>
      <c r="CD197" s="15"/>
      <c r="CE197" s="8"/>
      <c r="CF197" s="8"/>
      <c r="CG197" s="8"/>
      <c r="CK197" s="15"/>
      <c r="CL197" s="15"/>
      <c r="CM197" s="15"/>
      <c r="CN197" s="15"/>
      <c r="CO197" s="8">
        <v>1.8910878665745259</v>
      </c>
      <c r="CP197" s="8">
        <v>44.162333345413209</v>
      </c>
      <c r="CQ197" s="56">
        <v>41730</v>
      </c>
      <c r="CR197" s="8">
        <v>13.385953903198251</v>
      </c>
      <c r="CS197" s="8">
        <v>231.5438627600671</v>
      </c>
      <c r="CT197" s="8">
        <v>0</v>
      </c>
      <c r="CU197" s="8">
        <v>4861.8999999999996</v>
      </c>
    </row>
    <row r="198" spans="1:105" x14ac:dyDescent="0.25">
      <c r="A198" s="56">
        <v>38322</v>
      </c>
      <c r="B198" s="8">
        <v>330.71023941040039</v>
      </c>
      <c r="C198" s="8">
        <v>368.63812808990519</v>
      </c>
      <c r="D198" s="8">
        <v>45515.00532196014</v>
      </c>
      <c r="E198" s="8">
        <v>11457.694921875001</v>
      </c>
      <c r="AG198">
        <v>2014</v>
      </c>
      <c r="AH198">
        <v>2</v>
      </c>
      <c r="AI198" s="51">
        <v>51052.942890767023</v>
      </c>
      <c r="AJ198" s="51">
        <v>0</v>
      </c>
      <c r="CB198" s="15"/>
      <c r="CC198" s="15"/>
      <c r="CD198" s="15"/>
      <c r="CE198" s="8"/>
      <c r="CF198" s="8"/>
      <c r="CG198" s="8"/>
      <c r="CK198" s="15"/>
      <c r="CL198" s="15"/>
      <c r="CM198" s="15"/>
      <c r="CN198" s="15"/>
      <c r="CO198" s="8">
        <v>0.70042779445648229</v>
      </c>
      <c r="CP198" s="8">
        <v>0</v>
      </c>
      <c r="CQ198" s="56">
        <v>41760</v>
      </c>
      <c r="CR198" s="8">
        <v>0</v>
      </c>
      <c r="CS198" s="8">
        <v>0</v>
      </c>
      <c r="CT198" s="8">
        <v>0</v>
      </c>
      <c r="CU198" s="8">
        <v>0</v>
      </c>
    </row>
    <row r="199" spans="1:105" x14ac:dyDescent="0.25">
      <c r="A199" s="56">
        <v>38353</v>
      </c>
      <c r="B199" s="8">
        <v>2230.756469726562</v>
      </c>
      <c r="C199" s="8">
        <v>262.00451269149789</v>
      </c>
      <c r="D199" s="8">
        <v>784.49851355580631</v>
      </c>
      <c r="E199" s="8">
        <v>0</v>
      </c>
      <c r="AG199">
        <v>2014</v>
      </c>
      <c r="AH199">
        <v>3</v>
      </c>
      <c r="AI199" s="51">
        <v>19120.013463836163</v>
      </c>
      <c r="AJ199" s="51">
        <v>0</v>
      </c>
      <c r="AO199">
        <f>AG194</f>
        <v>2013</v>
      </c>
      <c r="AP199" s="8">
        <f>SUM(AI195:AI199)</f>
        <v>352398.70904967189</v>
      </c>
      <c r="AQ199" s="8">
        <f>SUM(AJ195:AJ199)</f>
        <v>0</v>
      </c>
      <c r="CB199" s="15"/>
      <c r="CC199" s="15"/>
      <c r="CD199" s="15"/>
      <c r="CE199" s="8"/>
      <c r="CF199" s="8"/>
      <c r="CG199" s="8"/>
      <c r="CK199" s="15"/>
      <c r="CL199" s="15"/>
      <c r="CM199" s="15"/>
      <c r="CN199" s="15"/>
      <c r="CO199" s="8">
        <v>0</v>
      </c>
      <c r="CP199" s="8">
        <v>0</v>
      </c>
      <c r="CQ199" s="56">
        <v>41791</v>
      </c>
      <c r="CR199" s="8">
        <v>0</v>
      </c>
      <c r="CS199" s="8">
        <v>0</v>
      </c>
      <c r="CT199" s="8">
        <v>0</v>
      </c>
      <c r="CU199" s="8">
        <v>0</v>
      </c>
    </row>
    <row r="200" spans="1:105" x14ac:dyDescent="0.25">
      <c r="A200" s="56">
        <v>38384</v>
      </c>
      <c r="B200" s="8">
        <v>1845.2481880187991</v>
      </c>
      <c r="C200" s="8">
        <v>418.9556239604949</v>
      </c>
      <c r="D200" s="8">
        <v>0</v>
      </c>
      <c r="E200" s="8">
        <v>0</v>
      </c>
      <c r="AG200">
        <v>2014</v>
      </c>
      <c r="AH200">
        <v>4</v>
      </c>
      <c r="AI200" s="51">
        <v>2209.9829121418297</v>
      </c>
      <c r="AJ200" s="51">
        <v>0</v>
      </c>
      <c r="CB200" s="15"/>
      <c r="CC200" s="15"/>
      <c r="CD200" s="15"/>
      <c r="CE200" s="8"/>
      <c r="CF200" s="8"/>
      <c r="CG200" s="8"/>
      <c r="CK200" s="15"/>
      <c r="CL200" s="15"/>
      <c r="CM200" s="15"/>
      <c r="CN200" s="15"/>
      <c r="CO200" s="15"/>
      <c r="CP200" s="8"/>
    </row>
    <row r="201" spans="1:105" x14ac:dyDescent="0.25">
      <c r="A201" s="56">
        <v>38412</v>
      </c>
      <c r="B201" s="8">
        <v>2023.979675292969</v>
      </c>
      <c r="C201" s="8">
        <v>4809.0866855829963</v>
      </c>
      <c r="D201" s="8">
        <v>0</v>
      </c>
      <c r="E201" s="8">
        <v>0</v>
      </c>
      <c r="AG201">
        <v>2014</v>
      </c>
      <c r="AH201">
        <v>5</v>
      </c>
      <c r="AI201" s="51">
        <v>18.435417532920848</v>
      </c>
      <c r="AJ201" s="51">
        <v>0</v>
      </c>
      <c r="CB201" s="15"/>
      <c r="CC201" s="15"/>
      <c r="CD201" s="15"/>
      <c r="CE201" s="8"/>
      <c r="CF201" s="8"/>
      <c r="CG201" s="8"/>
      <c r="CK201" s="15"/>
      <c r="CL201" s="15"/>
      <c r="CM201" s="15"/>
      <c r="CN201" s="15"/>
      <c r="CO201" s="15"/>
      <c r="CP201" s="8"/>
    </row>
    <row r="202" spans="1:105" x14ac:dyDescent="0.25">
      <c r="A202" s="56">
        <v>38443</v>
      </c>
      <c r="B202" s="8">
        <v>0</v>
      </c>
      <c r="C202" s="8">
        <v>396.00574468150711</v>
      </c>
      <c r="D202" s="8">
        <v>0</v>
      </c>
      <c r="E202" s="8">
        <v>0</v>
      </c>
      <c r="AG202">
        <v>2014</v>
      </c>
      <c r="AH202">
        <v>6</v>
      </c>
      <c r="AI202" s="51">
        <v>0</v>
      </c>
      <c r="AJ202" s="51">
        <v>0</v>
      </c>
      <c r="CB202" s="15"/>
      <c r="CC202" s="15"/>
      <c r="CD202" s="15"/>
      <c r="CE202" s="8"/>
      <c r="CF202" s="8"/>
      <c r="CG202" s="8"/>
      <c r="CK202" s="15"/>
      <c r="CL202" s="15"/>
      <c r="CM202" s="15"/>
      <c r="CN202" s="15"/>
      <c r="CO202" s="15"/>
      <c r="CP202" s="8"/>
    </row>
    <row r="203" spans="1:105" x14ac:dyDescent="0.25">
      <c r="A203" s="56">
        <v>38473</v>
      </c>
      <c r="B203" s="8">
        <v>0</v>
      </c>
      <c r="C203" s="8">
        <v>1272.349250125885</v>
      </c>
      <c r="D203" s="8">
        <v>0</v>
      </c>
      <c r="E203" s="8">
        <v>0</v>
      </c>
      <c r="AI203" s="8">
        <f>SUM(AI3:AI202)</f>
        <v>3410029.0859425706</v>
      </c>
      <c r="AJ203" s="8">
        <f>SUM(AJ3:AJ202)</f>
        <v>198408.03291428089</v>
      </c>
      <c r="CC203" s="15"/>
    </row>
    <row r="204" spans="1:105" x14ac:dyDescent="0.25">
      <c r="A204" s="56">
        <v>38504</v>
      </c>
      <c r="B204" s="8">
        <v>0</v>
      </c>
      <c r="C204" s="8">
        <v>504.32148746401066</v>
      </c>
      <c r="D204" s="8">
        <v>1775.8941528648147</v>
      </c>
      <c r="E204" s="8">
        <v>13117.215625000001</v>
      </c>
      <c r="AG204" t="s">
        <v>226</v>
      </c>
      <c r="AI204" s="51">
        <f t="shared" ref="AI204:AJ204" si="180">AVERAGE(AI3:AI202)</f>
        <v>17222.369120922074</v>
      </c>
      <c r="AJ204" s="51">
        <f t="shared" si="180"/>
        <v>1002.0607722943479</v>
      </c>
      <c r="CB204" s="15"/>
      <c r="CC204" s="15"/>
      <c r="CD204" s="15"/>
      <c r="CK204" s="15"/>
      <c r="CL204" s="15"/>
      <c r="CM204" s="15"/>
      <c r="CN204" s="15"/>
      <c r="CO204" s="15"/>
    </row>
    <row r="205" spans="1:105" x14ac:dyDescent="0.25">
      <c r="A205" s="56">
        <v>38534</v>
      </c>
      <c r="B205" s="8">
        <v>0</v>
      </c>
      <c r="C205" s="8">
        <v>8.9125103950500311</v>
      </c>
      <c r="D205" s="8">
        <v>23163.227486765012</v>
      </c>
      <c r="E205" s="8">
        <v>300.99375000000003</v>
      </c>
      <c r="AG205" t="s">
        <v>227</v>
      </c>
      <c r="CC205" s="15"/>
    </row>
    <row r="206" spans="1:105" x14ac:dyDescent="0.25">
      <c r="A206" s="56">
        <v>38565</v>
      </c>
      <c r="B206" s="8">
        <v>0</v>
      </c>
      <c r="C206" s="8">
        <v>23.03887643814085</v>
      </c>
      <c r="D206" s="8">
        <v>169.92899568825953</v>
      </c>
      <c r="E206" s="8">
        <v>0</v>
      </c>
      <c r="CC206" s="15"/>
    </row>
    <row r="207" spans="1:105" x14ac:dyDescent="0.25">
      <c r="A207" s="56">
        <v>38596</v>
      </c>
      <c r="B207" s="8">
        <v>0</v>
      </c>
      <c r="C207" s="8">
        <v>501.15680046081525</v>
      </c>
      <c r="D207" s="8">
        <v>143.05875836648048</v>
      </c>
      <c r="E207" s="8">
        <v>0</v>
      </c>
      <c r="CC207" s="15"/>
    </row>
    <row r="208" spans="1:105" x14ac:dyDescent="0.25">
      <c r="A208" s="56">
        <v>38626</v>
      </c>
      <c r="B208" s="8">
        <v>568.44998931884754</v>
      </c>
      <c r="C208" s="8">
        <v>53.922299385070772</v>
      </c>
      <c r="D208" s="8">
        <v>0</v>
      </c>
      <c r="E208" s="8">
        <v>0</v>
      </c>
      <c r="CC208" s="15"/>
    </row>
    <row r="209" spans="1:81" x14ac:dyDescent="0.25">
      <c r="A209" s="56">
        <v>38657</v>
      </c>
      <c r="B209" s="8">
        <v>957.46506500244129</v>
      </c>
      <c r="C209" s="8">
        <v>1389.375161737205</v>
      </c>
      <c r="D209" s="8">
        <v>3392.1057016849541</v>
      </c>
      <c r="E209" s="8">
        <v>0</v>
      </c>
      <c r="F209" s="56">
        <f>A209</f>
        <v>38657</v>
      </c>
      <c r="G209" s="8">
        <f>SUM(B205:B213)</f>
        <v>8401.2341194152832</v>
      </c>
      <c r="H209" s="8">
        <f>SUM(C205:C209)</f>
        <v>1976.405648416282</v>
      </c>
      <c r="I209" s="8">
        <f>SUM(D198:D209)</f>
        <v>74943.718930885458</v>
      </c>
      <c r="J209" s="8">
        <f>SUM(E197:E208)</f>
        <v>24875.904296875004</v>
      </c>
      <c r="CC209" s="15"/>
    </row>
    <row r="210" spans="1:81" x14ac:dyDescent="0.25">
      <c r="A210" s="56">
        <v>38687</v>
      </c>
      <c r="B210" s="8">
        <v>1925.583003997803</v>
      </c>
      <c r="C210" s="8">
        <v>15692.522363328935</v>
      </c>
      <c r="D210" s="8">
        <v>3329.7117222143338</v>
      </c>
      <c r="E210" s="8">
        <v>0</v>
      </c>
      <c r="CC210" s="15"/>
    </row>
    <row r="211" spans="1:81" x14ac:dyDescent="0.25">
      <c r="A211" s="56">
        <v>38718</v>
      </c>
      <c r="B211" s="8">
        <v>2046.7471084594727</v>
      </c>
      <c r="C211" s="8">
        <v>50055.217994357656</v>
      </c>
      <c r="D211" s="8">
        <v>1727.1823436737086</v>
      </c>
      <c r="E211" s="8">
        <v>0</v>
      </c>
      <c r="CC211" s="15"/>
    </row>
    <row r="212" spans="1:81" x14ac:dyDescent="0.25">
      <c r="A212" s="56">
        <v>38749</v>
      </c>
      <c r="B212" s="8">
        <v>1262.923217773438</v>
      </c>
      <c r="C212" s="8">
        <v>28857.067992591841</v>
      </c>
      <c r="D212" s="8">
        <v>1060.5318290842695</v>
      </c>
      <c r="E212" s="8">
        <v>0</v>
      </c>
      <c r="CC212" s="15"/>
    </row>
    <row r="213" spans="1:81" x14ac:dyDescent="0.25">
      <c r="A213" s="56">
        <v>38777</v>
      </c>
      <c r="B213" s="8">
        <v>1640.0657348632817</v>
      </c>
      <c r="C213" s="8">
        <v>14082.797248217461</v>
      </c>
      <c r="D213" s="8">
        <v>0</v>
      </c>
      <c r="E213" s="8">
        <v>0</v>
      </c>
      <c r="CC213" s="15"/>
    </row>
    <row r="214" spans="1:81" x14ac:dyDescent="0.25">
      <c r="A214" s="56">
        <v>38808</v>
      </c>
      <c r="B214" s="8">
        <v>0</v>
      </c>
      <c r="C214" s="8">
        <v>679.01666749082472</v>
      </c>
      <c r="D214" s="8">
        <v>0</v>
      </c>
      <c r="E214" s="8">
        <v>0</v>
      </c>
      <c r="CC214" s="15"/>
    </row>
    <row r="215" spans="1:81" x14ac:dyDescent="0.25">
      <c r="A215" s="56">
        <v>38838</v>
      </c>
      <c r="B215" s="8">
        <v>0</v>
      </c>
      <c r="C215" s="8">
        <v>914.75779719352727</v>
      </c>
      <c r="D215" s="8">
        <v>0</v>
      </c>
      <c r="E215" s="8">
        <v>0</v>
      </c>
      <c r="CC215" s="15"/>
    </row>
    <row r="216" spans="1:81" x14ac:dyDescent="0.25">
      <c r="A216" s="56">
        <v>38869</v>
      </c>
      <c r="B216" s="8">
        <v>0</v>
      </c>
      <c r="C216" s="8">
        <v>965.06308839321139</v>
      </c>
      <c r="D216" s="8">
        <v>0</v>
      </c>
      <c r="E216" s="8">
        <v>0</v>
      </c>
      <c r="CC216" s="15"/>
    </row>
    <row r="217" spans="1:81" x14ac:dyDescent="0.25">
      <c r="A217" s="56">
        <v>38899</v>
      </c>
      <c r="B217" s="8">
        <v>0</v>
      </c>
      <c r="C217" s="8">
        <v>1163.3326718211174</v>
      </c>
      <c r="D217" s="8">
        <v>135.67128844112156</v>
      </c>
      <c r="E217" s="8">
        <v>0</v>
      </c>
      <c r="CC217" s="15"/>
    </row>
    <row r="218" spans="1:81" x14ac:dyDescent="0.25">
      <c r="A218" s="56">
        <v>38930</v>
      </c>
      <c r="B218" s="8">
        <v>0</v>
      </c>
      <c r="C218" s="8">
        <v>869.18443233966809</v>
      </c>
      <c r="D218" s="8">
        <v>48.577297973632803</v>
      </c>
      <c r="E218" s="8">
        <v>0</v>
      </c>
      <c r="CC218" s="15"/>
    </row>
    <row r="219" spans="1:81" x14ac:dyDescent="0.25">
      <c r="A219" s="56">
        <v>38961</v>
      </c>
      <c r="B219" s="8">
        <v>0</v>
      </c>
      <c r="C219" s="8">
        <v>9921.5931507438436</v>
      </c>
      <c r="D219" s="8">
        <v>12.245705676078826</v>
      </c>
      <c r="E219" s="8">
        <v>0</v>
      </c>
      <c r="CC219" s="15"/>
    </row>
    <row r="220" spans="1:81" x14ac:dyDescent="0.25">
      <c r="A220" s="56">
        <v>38991</v>
      </c>
      <c r="B220" s="8">
        <v>1383.7095527648926</v>
      </c>
      <c r="C220" s="8">
        <v>248.22347046732904</v>
      </c>
      <c r="D220" s="8">
        <v>0</v>
      </c>
      <c r="E220" s="8">
        <v>0</v>
      </c>
      <c r="CC220" s="15"/>
    </row>
    <row r="221" spans="1:81" x14ac:dyDescent="0.25">
      <c r="A221" s="56">
        <v>39022</v>
      </c>
      <c r="B221" s="8">
        <v>1073.9033241271973</v>
      </c>
      <c r="C221" s="8">
        <v>1400.4316174447533</v>
      </c>
      <c r="D221" s="8">
        <v>0</v>
      </c>
      <c r="E221" s="8">
        <v>0</v>
      </c>
      <c r="F221" s="56">
        <f>A221</f>
        <v>39022</v>
      </c>
      <c r="G221" s="8">
        <f>SUM(B217:B225)</f>
        <v>10447.210258483887</v>
      </c>
      <c r="H221" s="8">
        <f>SUM(C217:C221)</f>
        <v>13602.765342816712</v>
      </c>
      <c r="I221" s="8">
        <f>SUM(D210:D221)</f>
        <v>6313.920187063145</v>
      </c>
      <c r="J221" s="8">
        <f>SUM(E209:E220)</f>
        <v>0</v>
      </c>
      <c r="CC221" s="15"/>
    </row>
    <row r="222" spans="1:81" x14ac:dyDescent="0.25">
      <c r="A222" s="56">
        <v>39052</v>
      </c>
      <c r="B222" s="8">
        <v>2469.1797180175781</v>
      </c>
      <c r="C222" s="8">
        <v>4570.1654282753361</v>
      </c>
      <c r="D222" s="8">
        <v>0</v>
      </c>
      <c r="E222" s="8">
        <v>0</v>
      </c>
      <c r="CC222" s="15"/>
    </row>
    <row r="223" spans="1:81" x14ac:dyDescent="0.25">
      <c r="A223" s="56">
        <v>39083</v>
      </c>
      <c r="B223" s="8">
        <v>2396.3005523681636</v>
      </c>
      <c r="C223" s="8">
        <v>3596.4228599548342</v>
      </c>
      <c r="D223" s="8">
        <v>0</v>
      </c>
      <c r="E223" s="8">
        <v>0</v>
      </c>
      <c r="CC223" s="15"/>
    </row>
    <row r="224" spans="1:81" x14ac:dyDescent="0.25">
      <c r="A224" s="56">
        <v>39114</v>
      </c>
      <c r="B224" s="8">
        <v>1608.4833831787112</v>
      </c>
      <c r="C224" s="8">
        <v>0</v>
      </c>
      <c r="D224" s="8">
        <v>0.58176140785217278</v>
      </c>
      <c r="E224" s="8">
        <v>0</v>
      </c>
      <c r="CC224" s="15"/>
    </row>
    <row r="225" spans="1:81" x14ac:dyDescent="0.25">
      <c r="A225" s="56">
        <v>39142</v>
      </c>
      <c r="B225" s="8">
        <v>1515.633728027344</v>
      </c>
      <c r="C225" s="8">
        <v>1621.6683095447706</v>
      </c>
      <c r="D225" s="8">
        <v>2276.051973757149</v>
      </c>
      <c r="E225" s="8">
        <v>0</v>
      </c>
      <c r="CC225" s="15"/>
    </row>
    <row r="226" spans="1:81" x14ac:dyDescent="0.25">
      <c r="A226" s="56">
        <v>39173</v>
      </c>
      <c r="B226" s="8">
        <v>0</v>
      </c>
      <c r="C226" s="8">
        <v>0</v>
      </c>
      <c r="D226" s="8">
        <v>0</v>
      </c>
      <c r="E226" s="8">
        <v>0</v>
      </c>
      <c r="CC226" s="15"/>
    </row>
    <row r="227" spans="1:81" x14ac:dyDescent="0.25">
      <c r="A227" s="56">
        <v>39203</v>
      </c>
      <c r="B227" s="8">
        <v>0</v>
      </c>
      <c r="C227" s="8">
        <v>0</v>
      </c>
      <c r="D227" s="8">
        <v>0</v>
      </c>
      <c r="E227" s="8">
        <v>0</v>
      </c>
      <c r="CC227" s="15"/>
    </row>
    <row r="228" spans="1:81" x14ac:dyDescent="0.25">
      <c r="A228" s="56">
        <v>39234</v>
      </c>
      <c r="B228" s="8">
        <v>0</v>
      </c>
      <c r="C228" s="8">
        <v>0</v>
      </c>
      <c r="D228" s="8">
        <v>0</v>
      </c>
      <c r="E228" s="8">
        <v>0</v>
      </c>
      <c r="CC228" s="15"/>
    </row>
    <row r="229" spans="1:81" x14ac:dyDescent="0.25">
      <c r="A229" s="56">
        <v>39264</v>
      </c>
      <c r="B229" s="8">
        <v>0</v>
      </c>
      <c r="C229" s="8">
        <v>217.29457722902285</v>
      </c>
      <c r="D229" s="8">
        <v>0</v>
      </c>
      <c r="E229" s="8">
        <v>0</v>
      </c>
      <c r="CC229" s="15"/>
    </row>
    <row r="230" spans="1:81" x14ac:dyDescent="0.25">
      <c r="A230" s="56">
        <v>39295</v>
      </c>
      <c r="B230" s="8">
        <v>0</v>
      </c>
      <c r="C230" s="8">
        <v>224.82289345264431</v>
      </c>
      <c r="D230" s="8">
        <v>2717.6581034958422</v>
      </c>
      <c r="E230" s="8">
        <v>0</v>
      </c>
      <c r="CC230" s="15"/>
    </row>
    <row r="231" spans="1:81" x14ac:dyDescent="0.25">
      <c r="A231" s="56">
        <v>39326</v>
      </c>
      <c r="B231" s="8">
        <v>0</v>
      </c>
      <c r="C231" s="8">
        <v>2906.3751093411829</v>
      </c>
      <c r="D231" s="8">
        <v>0</v>
      </c>
      <c r="E231" s="8">
        <v>0</v>
      </c>
      <c r="CC231" s="15"/>
    </row>
    <row r="232" spans="1:81" x14ac:dyDescent="0.25">
      <c r="A232" s="56">
        <v>39356</v>
      </c>
      <c r="B232" s="8">
        <v>999.14529037475609</v>
      </c>
      <c r="C232" s="8">
        <v>485.6851078808308</v>
      </c>
      <c r="D232" s="8">
        <v>0</v>
      </c>
      <c r="E232" s="8">
        <v>0</v>
      </c>
      <c r="CC232" s="15"/>
    </row>
    <row r="233" spans="1:81" x14ac:dyDescent="0.25">
      <c r="A233" s="56">
        <v>39387</v>
      </c>
      <c r="B233" s="8">
        <v>789.82371139526367</v>
      </c>
      <c r="C233" s="8">
        <v>2054.2885019734499</v>
      </c>
      <c r="D233" s="8">
        <v>53.237030844390397</v>
      </c>
      <c r="E233" s="8">
        <v>0</v>
      </c>
      <c r="F233" s="56">
        <f>A233</f>
        <v>39387</v>
      </c>
      <c r="G233" s="8">
        <f>SUM(B229:B237)</f>
        <v>9073.5755081176776</v>
      </c>
      <c r="H233" s="8">
        <f>SUM(C229:C233)</f>
        <v>5888.466189877131</v>
      </c>
      <c r="I233" s="8">
        <f>SUM(D222:D233)</f>
        <v>5047.5288695052341</v>
      </c>
      <c r="J233" s="8">
        <f>SUM(E221:E232)</f>
        <v>0</v>
      </c>
      <c r="CC233" s="15"/>
    </row>
    <row r="234" spans="1:81" x14ac:dyDescent="0.25">
      <c r="A234" s="56">
        <v>39417</v>
      </c>
      <c r="B234" s="8">
        <v>2484.9085159301771</v>
      </c>
      <c r="C234" s="8">
        <v>3999.1122992984965</v>
      </c>
      <c r="D234" s="8">
        <v>0</v>
      </c>
      <c r="E234" s="8">
        <v>0</v>
      </c>
      <c r="CC234" s="15"/>
    </row>
    <row r="235" spans="1:81" x14ac:dyDescent="0.25">
      <c r="A235" s="56">
        <v>39448</v>
      </c>
      <c r="B235" s="8">
        <v>1925.0191116333001</v>
      </c>
      <c r="C235" s="8">
        <v>7341.1375207126148</v>
      </c>
      <c r="D235" s="8">
        <v>944.99090781211805</v>
      </c>
      <c r="E235" s="8">
        <v>0</v>
      </c>
      <c r="CC235" s="15"/>
    </row>
    <row r="236" spans="1:81" x14ac:dyDescent="0.25">
      <c r="A236" s="56">
        <v>39479</v>
      </c>
      <c r="B236" s="8">
        <v>922.1895446777346</v>
      </c>
      <c r="C236" s="8">
        <v>2171.4699126541609</v>
      </c>
      <c r="D236" s="8">
        <v>16785.82704059855</v>
      </c>
      <c r="E236" s="8">
        <v>0</v>
      </c>
      <c r="CC236" s="15"/>
    </row>
    <row r="237" spans="1:81" x14ac:dyDescent="0.25">
      <c r="A237" s="56">
        <v>39508</v>
      </c>
      <c r="B237" s="8">
        <v>1952.4893341064455</v>
      </c>
      <c r="C237" s="8">
        <v>1196.4283921241756</v>
      </c>
      <c r="D237" s="8">
        <v>0</v>
      </c>
      <c r="E237" s="8">
        <v>0</v>
      </c>
      <c r="CC237" s="15"/>
    </row>
    <row r="238" spans="1:81" x14ac:dyDescent="0.25">
      <c r="A238" s="56">
        <v>39539</v>
      </c>
      <c r="B238" s="8">
        <v>0</v>
      </c>
      <c r="C238" s="8">
        <v>1664.0903341829774</v>
      </c>
      <c r="D238" s="8">
        <v>0</v>
      </c>
      <c r="E238" s="8">
        <v>0</v>
      </c>
      <c r="CC238" s="15"/>
    </row>
    <row r="239" spans="1:81" x14ac:dyDescent="0.25">
      <c r="A239" s="56">
        <v>39569</v>
      </c>
      <c r="B239" s="8">
        <v>0</v>
      </c>
      <c r="C239" s="8">
        <v>2296.6862504959095</v>
      </c>
      <c r="D239" s="8">
        <v>0</v>
      </c>
      <c r="E239" s="8">
        <v>0</v>
      </c>
      <c r="CC239" s="15"/>
    </row>
    <row r="240" spans="1:81" x14ac:dyDescent="0.25">
      <c r="A240" s="56">
        <v>39600</v>
      </c>
      <c r="B240" s="8">
        <v>0</v>
      </c>
      <c r="C240" s="8">
        <v>998.26266629695863</v>
      </c>
      <c r="D240" s="8">
        <v>0</v>
      </c>
      <c r="E240" s="8">
        <v>0</v>
      </c>
      <c r="CC240" s="15"/>
    </row>
    <row r="241" spans="1:81" x14ac:dyDescent="0.25">
      <c r="A241" s="56">
        <v>39630</v>
      </c>
      <c r="B241" s="8">
        <v>0</v>
      </c>
      <c r="C241" s="8">
        <v>1129.7609974324703</v>
      </c>
      <c r="D241" s="8">
        <v>0</v>
      </c>
      <c r="E241" s="8">
        <v>0</v>
      </c>
      <c r="CC241" s="15"/>
    </row>
    <row r="242" spans="1:81" x14ac:dyDescent="0.25">
      <c r="A242" s="56">
        <v>39661</v>
      </c>
      <c r="B242" s="8">
        <v>0</v>
      </c>
      <c r="C242" s="8">
        <v>2665.9064097404475</v>
      </c>
      <c r="D242" s="8">
        <v>0</v>
      </c>
      <c r="E242" s="8">
        <v>0</v>
      </c>
      <c r="CC242" s="15"/>
    </row>
    <row r="243" spans="1:81" x14ac:dyDescent="0.25">
      <c r="A243" s="56">
        <v>39692</v>
      </c>
      <c r="B243" s="8">
        <v>0</v>
      </c>
      <c r="C243" s="8">
        <v>3141.5948145747193</v>
      </c>
      <c r="D243" s="8">
        <v>823.1901631236077</v>
      </c>
      <c r="E243" s="8">
        <v>0</v>
      </c>
      <c r="CC243" s="15"/>
    </row>
    <row r="244" spans="1:81" x14ac:dyDescent="0.25">
      <c r="A244" s="56">
        <v>39722</v>
      </c>
      <c r="B244" s="8">
        <v>1288.7399024963381</v>
      </c>
      <c r="C244" s="8">
        <v>250.15498234629641</v>
      </c>
      <c r="D244" s="8">
        <v>0</v>
      </c>
      <c r="E244" s="8">
        <v>0</v>
      </c>
      <c r="CC244" s="15"/>
    </row>
    <row r="245" spans="1:81" x14ac:dyDescent="0.25">
      <c r="A245" s="56">
        <v>39753</v>
      </c>
      <c r="B245" s="8">
        <v>506.62673568725586</v>
      </c>
      <c r="C245" s="8">
        <v>2486.8909198045735</v>
      </c>
      <c r="D245" s="8">
        <v>10335.960873879501</v>
      </c>
      <c r="E245" s="8">
        <v>0</v>
      </c>
      <c r="F245" s="56">
        <f>A245</f>
        <v>39753</v>
      </c>
      <c r="G245" s="8">
        <f>SUM(B241:B249)</f>
        <v>8378.9159355163592</v>
      </c>
      <c r="H245" s="8">
        <f>SUM(C241:C245)</f>
        <v>9674.3081238985069</v>
      </c>
      <c r="I245" s="8">
        <f>SUM(D234:D245)</f>
        <v>28889.968985413776</v>
      </c>
      <c r="J245" s="8">
        <f>SUM(E233:E244)</f>
        <v>0</v>
      </c>
      <c r="CC245" s="15"/>
    </row>
    <row r="246" spans="1:81" x14ac:dyDescent="0.25">
      <c r="A246" s="56">
        <v>39783</v>
      </c>
      <c r="B246" s="8">
        <v>1909.5968437194826</v>
      </c>
      <c r="C246" s="8">
        <v>5981.4026259422317</v>
      </c>
      <c r="D246" s="8">
        <v>2585.2072785146529</v>
      </c>
      <c r="E246" s="8">
        <v>0</v>
      </c>
      <c r="CC246" s="15"/>
    </row>
    <row r="247" spans="1:81" x14ac:dyDescent="0.25">
      <c r="A247" s="56">
        <v>39814</v>
      </c>
      <c r="B247" s="8">
        <v>1927.1382904052737</v>
      </c>
      <c r="C247" s="8">
        <v>15677.258732128144</v>
      </c>
      <c r="D247" s="8">
        <v>4290.2789718829072</v>
      </c>
      <c r="E247" s="8">
        <v>0</v>
      </c>
      <c r="CC247" s="15"/>
    </row>
    <row r="248" spans="1:81" x14ac:dyDescent="0.25">
      <c r="A248" s="56">
        <v>39845</v>
      </c>
      <c r="B248" s="8">
        <v>945.36390686035168</v>
      </c>
      <c r="C248" s="8">
        <v>5997.9569074630754</v>
      </c>
      <c r="D248" s="8">
        <v>3393.8753244207278</v>
      </c>
      <c r="E248" s="8">
        <v>0</v>
      </c>
      <c r="CC248" s="15"/>
    </row>
    <row r="249" spans="1:81" x14ac:dyDescent="0.25">
      <c r="A249" s="56">
        <v>39873</v>
      </c>
      <c r="B249" s="8">
        <v>1801.4502563476565</v>
      </c>
      <c r="C249" s="8">
        <v>458.86149644851707</v>
      </c>
      <c r="D249" s="8">
        <v>0</v>
      </c>
      <c r="E249" s="8">
        <v>0</v>
      </c>
      <c r="CC249" s="15"/>
    </row>
    <row r="250" spans="1:81" x14ac:dyDescent="0.25">
      <c r="A250" s="56">
        <v>39904</v>
      </c>
      <c r="B250" s="8">
        <v>0</v>
      </c>
      <c r="C250" s="8">
        <v>333.36043553054321</v>
      </c>
      <c r="D250" s="8">
        <v>0</v>
      </c>
      <c r="E250" s="8">
        <v>0</v>
      </c>
      <c r="CC250" s="15"/>
    </row>
    <row r="251" spans="1:81" x14ac:dyDescent="0.25">
      <c r="A251" s="56">
        <v>39934</v>
      </c>
      <c r="B251" s="8">
        <v>0</v>
      </c>
      <c r="C251" s="8">
        <v>500.64406298398973</v>
      </c>
      <c r="D251" s="8">
        <v>0</v>
      </c>
      <c r="E251" s="8">
        <v>0</v>
      </c>
      <c r="CC251" s="15"/>
    </row>
    <row r="252" spans="1:81" x14ac:dyDescent="0.25">
      <c r="A252" s="56">
        <v>39965</v>
      </c>
      <c r="B252" s="8">
        <v>0</v>
      </c>
      <c r="C252" s="8">
        <v>99.522428417205788</v>
      </c>
      <c r="D252" s="8">
        <v>0</v>
      </c>
      <c r="E252" s="8">
        <v>0</v>
      </c>
      <c r="CC252" s="15"/>
    </row>
    <row r="253" spans="1:81" x14ac:dyDescent="0.25">
      <c r="A253" s="56">
        <v>39995</v>
      </c>
      <c r="B253" s="8">
        <v>0</v>
      </c>
      <c r="C253" s="8">
        <v>821.41008634567243</v>
      </c>
      <c r="D253" s="8">
        <v>0</v>
      </c>
      <c r="E253" s="8">
        <v>0</v>
      </c>
      <c r="CC253" s="15"/>
    </row>
    <row r="254" spans="1:81" x14ac:dyDescent="0.25">
      <c r="A254" s="56">
        <v>40026</v>
      </c>
      <c r="B254" s="8">
        <v>0</v>
      </c>
      <c r="C254" s="8">
        <v>968.69505672454841</v>
      </c>
      <c r="D254" s="8">
        <v>0</v>
      </c>
      <c r="E254" s="8">
        <v>0</v>
      </c>
      <c r="CC254" s="15"/>
    </row>
    <row r="255" spans="1:81" x14ac:dyDescent="0.25">
      <c r="A255" s="56">
        <v>40057</v>
      </c>
      <c r="B255" s="8">
        <v>0</v>
      </c>
      <c r="C255" s="8">
        <v>1689.2580148313209</v>
      </c>
      <c r="D255" s="8">
        <v>0</v>
      </c>
      <c r="E255" s="8">
        <v>0</v>
      </c>
      <c r="CC255" s="15"/>
    </row>
    <row r="256" spans="1:81" x14ac:dyDescent="0.25">
      <c r="A256" s="56">
        <v>40087</v>
      </c>
      <c r="B256" s="8">
        <v>986.92578506469738</v>
      </c>
      <c r="C256" s="8">
        <v>2.37354218959808E-2</v>
      </c>
      <c r="D256" s="8">
        <v>0</v>
      </c>
      <c r="E256" s="8">
        <v>0</v>
      </c>
      <c r="CC256" s="15"/>
    </row>
    <row r="257" spans="1:81" x14ac:dyDescent="0.25">
      <c r="A257" s="56">
        <v>40118</v>
      </c>
      <c r="B257" s="8">
        <v>1803.542053222656</v>
      </c>
      <c r="C257" s="8">
        <v>0</v>
      </c>
      <c r="D257" s="8">
        <v>0</v>
      </c>
      <c r="E257" s="8">
        <v>0</v>
      </c>
      <c r="F257" s="56">
        <f>A257</f>
        <v>40118</v>
      </c>
      <c r="G257" s="8">
        <f>SUM(B253:B261)</f>
        <v>10387.716293334961</v>
      </c>
      <c r="H257" s="8">
        <f>SUM(C253:C257)</f>
        <v>3479.386893323438</v>
      </c>
      <c r="I257" s="8">
        <f>SUM(D246:D257)</f>
        <v>10269.361574818287</v>
      </c>
      <c r="J257" s="8">
        <f>SUM(E245:E256)</f>
        <v>0</v>
      </c>
      <c r="CC257" s="15"/>
    </row>
    <row r="258" spans="1:81" x14ac:dyDescent="0.25">
      <c r="A258" s="56">
        <v>40148</v>
      </c>
      <c r="B258" s="8">
        <v>2379.9312133789062</v>
      </c>
      <c r="C258" s="8">
        <v>0</v>
      </c>
      <c r="D258" s="8">
        <v>0</v>
      </c>
      <c r="E258" s="8">
        <v>0</v>
      </c>
      <c r="CC258" s="15"/>
    </row>
    <row r="259" spans="1:81" x14ac:dyDescent="0.25">
      <c r="A259" s="56">
        <v>40179</v>
      </c>
      <c r="B259" s="8">
        <v>1934.3249855041499</v>
      </c>
      <c r="C259" s="8">
        <v>78.962341919541416</v>
      </c>
      <c r="D259" s="8">
        <v>3378.8763637155298</v>
      </c>
      <c r="E259" s="8">
        <v>0</v>
      </c>
      <c r="CC259" s="15"/>
    </row>
    <row r="260" spans="1:81" x14ac:dyDescent="0.25">
      <c r="A260" s="56">
        <v>40210</v>
      </c>
      <c r="B260" s="8">
        <v>1772.1076889038088</v>
      </c>
      <c r="C260" s="8">
        <v>0</v>
      </c>
      <c r="D260" s="8">
        <v>0</v>
      </c>
      <c r="E260" s="8">
        <v>0</v>
      </c>
      <c r="CC260" s="15"/>
    </row>
    <row r="261" spans="1:81" x14ac:dyDescent="0.25">
      <c r="A261" s="56">
        <v>40238</v>
      </c>
      <c r="B261" s="8">
        <v>1510.8845672607426</v>
      </c>
      <c r="C261" s="8">
        <v>0</v>
      </c>
      <c r="D261" s="8">
        <v>0</v>
      </c>
      <c r="E261" s="8">
        <v>0</v>
      </c>
      <c r="CC261" s="15"/>
    </row>
    <row r="262" spans="1:81" x14ac:dyDescent="0.25">
      <c r="A262" s="56">
        <v>40269</v>
      </c>
      <c r="B262" s="8">
        <v>0</v>
      </c>
      <c r="C262" s="8">
        <v>0</v>
      </c>
      <c r="D262" s="8">
        <v>0</v>
      </c>
      <c r="E262" s="8">
        <v>0</v>
      </c>
      <c r="CC262" s="15"/>
    </row>
    <row r="263" spans="1:81" x14ac:dyDescent="0.25">
      <c r="A263" s="56">
        <v>40299</v>
      </c>
      <c r="B263" s="8">
        <v>0</v>
      </c>
      <c r="C263" s="8">
        <v>0</v>
      </c>
      <c r="D263" s="8">
        <v>0</v>
      </c>
      <c r="E263" s="8">
        <v>0</v>
      </c>
      <c r="CC263" s="15"/>
    </row>
    <row r="264" spans="1:81" x14ac:dyDescent="0.25">
      <c r="A264" s="56">
        <v>40330</v>
      </c>
      <c r="B264" s="8">
        <v>0</v>
      </c>
      <c r="C264" s="8">
        <v>0</v>
      </c>
      <c r="D264" s="8">
        <v>0</v>
      </c>
      <c r="E264" s="8">
        <v>0</v>
      </c>
      <c r="CC264" s="15"/>
    </row>
    <row r="265" spans="1:81" x14ac:dyDescent="0.25">
      <c r="A265" s="56">
        <v>40360</v>
      </c>
      <c r="B265" s="8">
        <v>0</v>
      </c>
      <c r="C265" s="8">
        <v>0</v>
      </c>
      <c r="D265" s="8">
        <v>106.59311003685002</v>
      </c>
      <c r="E265" s="8">
        <v>0</v>
      </c>
      <c r="CC265" s="15"/>
    </row>
    <row r="266" spans="1:81" x14ac:dyDescent="0.25">
      <c r="A266" s="56">
        <v>40391</v>
      </c>
      <c r="B266" s="8">
        <v>0</v>
      </c>
      <c r="C266" s="8">
        <v>0</v>
      </c>
      <c r="D266" s="8">
        <v>29042.441834518966</v>
      </c>
      <c r="E266" s="8">
        <v>0</v>
      </c>
      <c r="CC266" s="15"/>
    </row>
    <row r="267" spans="1:81" x14ac:dyDescent="0.25">
      <c r="A267" s="56">
        <v>40422</v>
      </c>
      <c r="B267" s="8">
        <v>0</v>
      </c>
      <c r="C267" s="8">
        <v>133.84472017288203</v>
      </c>
      <c r="D267" s="8">
        <v>17937.6880196727</v>
      </c>
      <c r="E267" s="8">
        <v>0</v>
      </c>
      <c r="CC267" s="15"/>
    </row>
    <row r="268" spans="1:81" x14ac:dyDescent="0.25">
      <c r="A268" s="56">
        <v>40452</v>
      </c>
      <c r="B268" s="8">
        <v>1078.7564048767094</v>
      </c>
      <c r="C268" s="8">
        <v>0</v>
      </c>
      <c r="D268" s="8">
        <v>20695.361312429344</v>
      </c>
      <c r="E268" s="8">
        <v>0</v>
      </c>
      <c r="CC268" s="15"/>
    </row>
    <row r="269" spans="1:81" x14ac:dyDescent="0.25">
      <c r="A269" s="56">
        <v>40483</v>
      </c>
      <c r="B269" s="8">
        <v>1621.2053298950195</v>
      </c>
      <c r="C269" s="8">
        <v>249.56578388214118</v>
      </c>
      <c r="D269" s="8">
        <v>6376.2311382699772</v>
      </c>
      <c r="E269" s="8">
        <v>0</v>
      </c>
      <c r="F269" s="56">
        <f>A269</f>
        <v>40483</v>
      </c>
      <c r="G269" s="8">
        <f>SUM(B265:B273)</f>
        <v>10053.214221954348</v>
      </c>
      <c r="H269" s="8">
        <f>SUM(C265:C269)</f>
        <v>383.41050405502324</v>
      </c>
      <c r="I269" s="8">
        <f>SUM(D258:D269)</f>
        <v>77537.191778643377</v>
      </c>
      <c r="J269" s="8">
        <f>SUM(E257:E268)</f>
        <v>0</v>
      </c>
      <c r="CC269" s="15"/>
    </row>
    <row r="270" spans="1:81" x14ac:dyDescent="0.25">
      <c r="A270" s="56">
        <v>40513</v>
      </c>
      <c r="B270" s="8">
        <v>2171.8451156616225</v>
      </c>
      <c r="C270" s="8">
        <v>2243.4504217386248</v>
      </c>
      <c r="D270" s="8">
        <v>8454.3753013797159</v>
      </c>
      <c r="E270" s="8">
        <v>0</v>
      </c>
      <c r="CC270" s="15"/>
    </row>
    <row r="271" spans="1:81" x14ac:dyDescent="0.25">
      <c r="A271" s="56">
        <v>40544</v>
      </c>
      <c r="B271" s="8">
        <v>1713.8425064086912</v>
      </c>
      <c r="C271" s="8">
        <v>28369.942144060136</v>
      </c>
      <c r="D271" s="8">
        <v>3702.6216382026646</v>
      </c>
      <c r="E271" s="8">
        <v>0</v>
      </c>
      <c r="CC271" s="15"/>
    </row>
    <row r="272" spans="1:81" x14ac:dyDescent="0.25">
      <c r="A272" s="56">
        <v>40575</v>
      </c>
      <c r="B272" s="8">
        <v>1673.380249023438</v>
      </c>
      <c r="C272" s="8">
        <v>16943.126775598546</v>
      </c>
      <c r="D272" s="8">
        <v>28.682744789123532</v>
      </c>
      <c r="E272" s="8">
        <v>0</v>
      </c>
      <c r="CC272" s="15"/>
    </row>
    <row r="273" spans="1:81" x14ac:dyDescent="0.25">
      <c r="A273" s="56">
        <v>40603</v>
      </c>
      <c r="B273" s="8">
        <v>1794.1846160888676</v>
      </c>
      <c r="C273" s="8">
        <v>16444.162824821477</v>
      </c>
      <c r="D273" s="8">
        <v>2.1920354843139682</v>
      </c>
      <c r="E273" s="8">
        <v>0</v>
      </c>
      <c r="CC273" s="15"/>
    </row>
    <row r="274" spans="1:81" x14ac:dyDescent="0.25">
      <c r="A274" s="56">
        <v>40634</v>
      </c>
      <c r="B274" s="8">
        <v>0</v>
      </c>
      <c r="C274" s="8">
        <v>321.2836698791013</v>
      </c>
      <c r="D274" s="8">
        <v>0</v>
      </c>
      <c r="E274" s="8">
        <v>0</v>
      </c>
      <c r="CC274" s="15"/>
    </row>
    <row r="275" spans="1:81" x14ac:dyDescent="0.25">
      <c r="A275" s="56">
        <v>40664</v>
      </c>
      <c r="B275" s="8">
        <v>0</v>
      </c>
      <c r="C275" s="8">
        <v>1331.7059575080875</v>
      </c>
      <c r="D275" s="8">
        <v>0</v>
      </c>
      <c r="E275" s="8">
        <v>0</v>
      </c>
      <c r="CC275" s="15"/>
    </row>
    <row r="276" spans="1:81" x14ac:dyDescent="0.25">
      <c r="A276" s="56">
        <v>40695</v>
      </c>
      <c r="B276" s="8">
        <v>0</v>
      </c>
      <c r="C276" s="8">
        <v>1390.5236387848854</v>
      </c>
      <c r="D276" s="8">
        <v>3120.3782860457941</v>
      </c>
      <c r="E276" s="8">
        <v>0</v>
      </c>
      <c r="CC276" s="15"/>
    </row>
    <row r="277" spans="1:81" x14ac:dyDescent="0.25">
      <c r="A277" s="56">
        <v>40725</v>
      </c>
      <c r="B277" s="8">
        <v>0</v>
      </c>
      <c r="C277" s="8">
        <v>1297.6234597206117</v>
      </c>
      <c r="D277" s="8">
        <v>0</v>
      </c>
      <c r="E277" s="8">
        <v>0</v>
      </c>
      <c r="CC277" s="15"/>
    </row>
    <row r="278" spans="1:81" x14ac:dyDescent="0.25">
      <c r="A278" s="56">
        <v>40756</v>
      </c>
      <c r="B278" s="8">
        <v>0</v>
      </c>
      <c r="C278" s="8">
        <v>2079.3570371747023</v>
      </c>
      <c r="D278" s="8">
        <v>108.2505751609805</v>
      </c>
      <c r="E278" s="8">
        <v>0</v>
      </c>
      <c r="CC278" s="15"/>
    </row>
    <row r="279" spans="1:81" x14ac:dyDescent="0.25">
      <c r="A279" s="56">
        <v>40787</v>
      </c>
      <c r="B279" s="8">
        <v>0</v>
      </c>
      <c r="C279" s="8">
        <v>14559.463016295442</v>
      </c>
      <c r="D279" s="8">
        <v>78.032118988037126</v>
      </c>
      <c r="E279" s="8">
        <v>0</v>
      </c>
      <c r="CC279" s="15"/>
    </row>
    <row r="280" spans="1:81" x14ac:dyDescent="0.25">
      <c r="A280" s="56">
        <v>40817</v>
      </c>
      <c r="B280" s="8">
        <v>919.28643035888695</v>
      </c>
      <c r="C280" s="8">
        <v>395.02356085777296</v>
      </c>
      <c r="D280" s="8">
        <v>3610.5114630221406</v>
      </c>
      <c r="E280" s="8">
        <v>0</v>
      </c>
      <c r="CC280" s="15"/>
    </row>
    <row r="281" spans="1:81" x14ac:dyDescent="0.25">
      <c r="A281" s="56">
        <v>40848</v>
      </c>
      <c r="B281" s="8">
        <v>1152.1758766174316</v>
      </c>
      <c r="C281" s="8">
        <v>6340.3126931536954</v>
      </c>
      <c r="D281" s="8">
        <v>28388.273640391239</v>
      </c>
      <c r="E281" s="8">
        <v>30202.859765625002</v>
      </c>
      <c r="F281" s="56">
        <f>A281</f>
        <v>40848</v>
      </c>
      <c r="G281" s="8">
        <f>SUM(B277:B285)</f>
        <v>6164.9697265625</v>
      </c>
      <c r="H281" s="8">
        <f>SUM(C277:C281)</f>
        <v>24671.779767202221</v>
      </c>
      <c r="I281" s="8">
        <f>SUM(D270:D281)</f>
        <v>47493.317803464008</v>
      </c>
      <c r="J281" s="8">
        <f>SUM(E269:E280)</f>
        <v>0</v>
      </c>
      <c r="CC281" s="15"/>
    </row>
    <row r="282" spans="1:81" x14ac:dyDescent="0.25">
      <c r="A282" s="56">
        <v>40878</v>
      </c>
      <c r="B282" s="8">
        <v>0</v>
      </c>
      <c r="C282" s="8">
        <v>0.87599983215332</v>
      </c>
      <c r="D282" s="8">
        <v>32839.071665379415</v>
      </c>
      <c r="E282" s="8">
        <v>263.90234375</v>
      </c>
      <c r="CC282" s="15"/>
    </row>
    <row r="283" spans="1:81" x14ac:dyDescent="0.25">
      <c r="A283" s="56">
        <v>40909</v>
      </c>
      <c r="B283" s="8">
        <v>1303.5575828552246</v>
      </c>
      <c r="C283" s="8">
        <v>27.239939486980404</v>
      </c>
      <c r="D283" s="8">
        <v>1318.5081911087034</v>
      </c>
      <c r="E283" s="8">
        <v>739.7578125</v>
      </c>
      <c r="CC283" s="15"/>
    </row>
    <row r="284" spans="1:81" x14ac:dyDescent="0.25">
      <c r="A284" s="56">
        <v>40940</v>
      </c>
      <c r="B284" s="8">
        <v>731.69818878173828</v>
      </c>
      <c r="C284" s="8">
        <v>0</v>
      </c>
      <c r="D284" s="8">
        <v>2039.772345352173</v>
      </c>
      <c r="E284" s="8">
        <v>256.12656250000003</v>
      </c>
      <c r="CC284" s="15"/>
    </row>
    <row r="285" spans="1:81" x14ac:dyDescent="0.25">
      <c r="A285" s="56">
        <v>40969</v>
      </c>
      <c r="B285" s="8">
        <v>2058.2516479492192</v>
      </c>
      <c r="C285" s="8">
        <v>410.62115621566784</v>
      </c>
      <c r="D285" s="8">
        <v>243.03944727638759</v>
      </c>
      <c r="E285" s="8">
        <v>0</v>
      </c>
      <c r="CC285" s="15"/>
    </row>
    <row r="286" spans="1:81" x14ac:dyDescent="0.25">
      <c r="A286" s="56">
        <v>41000</v>
      </c>
      <c r="B286" s="8">
        <v>0</v>
      </c>
      <c r="C286" s="8">
        <v>24.703633874654784</v>
      </c>
      <c r="D286" s="8">
        <v>0</v>
      </c>
      <c r="E286" s="8">
        <v>0</v>
      </c>
      <c r="CC286" s="15"/>
    </row>
    <row r="287" spans="1:81" x14ac:dyDescent="0.25">
      <c r="A287" s="56">
        <v>41030</v>
      </c>
      <c r="B287" s="8">
        <v>0</v>
      </c>
      <c r="C287" s="8">
        <v>17.918091058731079</v>
      </c>
      <c r="D287" s="8">
        <v>97.272132573835364</v>
      </c>
      <c r="E287" s="8">
        <v>0</v>
      </c>
      <c r="CC287" s="15"/>
    </row>
    <row r="288" spans="1:81" x14ac:dyDescent="0.25">
      <c r="A288" s="56">
        <v>41061</v>
      </c>
      <c r="B288" s="8">
        <v>0</v>
      </c>
      <c r="C288" s="8">
        <v>12.297943115234377</v>
      </c>
      <c r="D288" s="8">
        <v>363.9897457506504</v>
      </c>
      <c r="E288" s="8">
        <v>0</v>
      </c>
      <c r="CC288" s="15"/>
    </row>
    <row r="289" spans="1:81" x14ac:dyDescent="0.25">
      <c r="A289" s="56">
        <v>41091</v>
      </c>
      <c r="B289" s="8">
        <v>0</v>
      </c>
      <c r="C289" s="8">
        <v>6.1457018375396739</v>
      </c>
      <c r="D289" s="8">
        <v>16380.296568894481</v>
      </c>
      <c r="E289" s="8">
        <v>2917.9931640625041</v>
      </c>
      <c r="CC289" s="15"/>
    </row>
    <row r="290" spans="1:81" x14ac:dyDescent="0.25">
      <c r="A290" s="56">
        <v>41122</v>
      </c>
      <c r="B290" s="8">
        <v>0</v>
      </c>
      <c r="C290" s="8">
        <v>16.609449100494384</v>
      </c>
      <c r="D290" s="8">
        <v>153.40017166137707</v>
      </c>
      <c r="E290" s="8">
        <v>0</v>
      </c>
      <c r="CC290" s="15"/>
    </row>
    <row r="291" spans="1:81" x14ac:dyDescent="0.25">
      <c r="A291" s="56">
        <v>41153</v>
      </c>
      <c r="B291" s="8">
        <v>0</v>
      </c>
      <c r="C291" s="8">
        <v>576.23731160163891</v>
      </c>
      <c r="D291" s="8">
        <v>0</v>
      </c>
      <c r="E291" s="8">
        <v>0</v>
      </c>
      <c r="CC291" s="15"/>
    </row>
    <row r="292" spans="1:81" x14ac:dyDescent="0.25">
      <c r="A292" s="56">
        <v>41183</v>
      </c>
      <c r="B292" s="8">
        <v>1400.3063812255862</v>
      </c>
      <c r="C292" s="8">
        <v>951.89248477276453</v>
      </c>
      <c r="D292" s="8">
        <v>0</v>
      </c>
      <c r="E292" s="8">
        <v>0</v>
      </c>
      <c r="CC292" s="15"/>
    </row>
    <row r="293" spans="1:81" x14ac:dyDescent="0.25">
      <c r="A293" s="56">
        <v>41214</v>
      </c>
      <c r="B293" s="8">
        <v>1708.8259963989256</v>
      </c>
      <c r="C293" s="8">
        <v>27446.997263526911</v>
      </c>
      <c r="D293" s="8">
        <v>0</v>
      </c>
      <c r="E293" s="8">
        <v>0</v>
      </c>
      <c r="F293" s="56">
        <f>A293</f>
        <v>41214</v>
      </c>
      <c r="G293" s="8">
        <f>SUM(B289:B297)</f>
        <v>8938.6401138305664</v>
      </c>
      <c r="H293" s="8">
        <f>SUM(C289:C293)</f>
        <v>28997.882210839351</v>
      </c>
      <c r="I293" s="8">
        <f>SUM(D282:D293)</f>
        <v>53435.350267997033</v>
      </c>
      <c r="J293" s="8">
        <f>SUM(E281:E292)</f>
        <v>34380.639648437507</v>
      </c>
      <c r="CC293" s="15"/>
    </row>
    <row r="294" spans="1:81" x14ac:dyDescent="0.25">
      <c r="A294" s="56">
        <v>41244</v>
      </c>
      <c r="B294" s="8">
        <v>1939.8896331787112</v>
      </c>
      <c r="C294" s="8">
        <v>61684.793139814297</v>
      </c>
      <c r="D294" s="8">
        <v>3402.8760693550084</v>
      </c>
      <c r="E294" s="8">
        <v>0</v>
      </c>
      <c r="CC294" s="15"/>
    </row>
    <row r="295" spans="1:81" x14ac:dyDescent="0.25">
      <c r="A295" s="56">
        <v>41275</v>
      </c>
      <c r="B295" s="8">
        <v>1578.17248916626</v>
      </c>
      <c r="C295" s="8">
        <v>104689.67396879196</v>
      </c>
      <c r="D295" s="8">
        <v>11371.973562565447</v>
      </c>
      <c r="E295" s="8">
        <v>85.574804687500006</v>
      </c>
      <c r="CC295" s="15"/>
    </row>
    <row r="296" spans="1:81" x14ac:dyDescent="0.25">
      <c r="A296" s="56">
        <v>41306</v>
      </c>
      <c r="B296" s="8">
        <v>1397.7548217773442</v>
      </c>
      <c r="C296" s="8">
        <v>3673.5782501220692</v>
      </c>
      <c r="D296" s="8">
        <v>7133.9125995635977</v>
      </c>
      <c r="E296" s="8">
        <v>0</v>
      </c>
      <c r="CC296" s="15"/>
    </row>
    <row r="297" spans="1:81" x14ac:dyDescent="0.25">
      <c r="A297" s="56">
        <v>41334</v>
      </c>
      <c r="B297" s="8">
        <v>913.69079208374046</v>
      </c>
      <c r="C297" s="8">
        <v>332.42078520059601</v>
      </c>
      <c r="D297" s="8">
        <v>15328.348511691387</v>
      </c>
      <c r="E297" s="8">
        <v>0</v>
      </c>
      <c r="CC297" s="15"/>
    </row>
    <row r="298" spans="1:81" x14ac:dyDescent="0.25">
      <c r="A298" s="56">
        <v>41365</v>
      </c>
      <c r="B298" s="8">
        <v>0</v>
      </c>
      <c r="C298" s="8">
        <v>30.017208576202428</v>
      </c>
      <c r="D298" s="8">
        <v>0</v>
      </c>
      <c r="E298" s="8">
        <v>0</v>
      </c>
      <c r="CC298" s="15"/>
    </row>
    <row r="299" spans="1:81" x14ac:dyDescent="0.25">
      <c r="A299" s="56">
        <v>41395</v>
      </c>
      <c r="B299" s="8">
        <v>0</v>
      </c>
      <c r="C299" s="8">
        <v>27.745826292037993</v>
      </c>
      <c r="D299" s="8">
        <v>0</v>
      </c>
      <c r="E299" s="8">
        <v>0</v>
      </c>
      <c r="CC299" s="15"/>
    </row>
    <row r="300" spans="1:81" x14ac:dyDescent="0.25">
      <c r="A300" s="56">
        <v>41426</v>
      </c>
      <c r="B300" s="8">
        <v>0</v>
      </c>
      <c r="C300" s="8">
        <v>10.711257350444795</v>
      </c>
      <c r="D300" s="8">
        <v>251.45422138506547</v>
      </c>
      <c r="E300" s="8">
        <v>0</v>
      </c>
      <c r="CC300" s="15"/>
    </row>
    <row r="301" spans="1:81" x14ac:dyDescent="0.25">
      <c r="A301" s="56">
        <v>41456</v>
      </c>
      <c r="B301" s="8">
        <v>0</v>
      </c>
      <c r="C301" s="8">
        <v>52.264689254760732</v>
      </c>
      <c r="D301" s="8">
        <v>183.86874592266958</v>
      </c>
      <c r="E301" s="8">
        <v>0</v>
      </c>
      <c r="CC301" s="15"/>
    </row>
    <row r="302" spans="1:81" x14ac:dyDescent="0.25">
      <c r="A302" s="56">
        <v>41487</v>
      </c>
      <c r="B302" s="8">
        <v>0</v>
      </c>
      <c r="C302" s="8">
        <v>656.42063736915588</v>
      </c>
      <c r="D302" s="8">
        <v>0</v>
      </c>
      <c r="E302" s="8">
        <v>0</v>
      </c>
      <c r="CC302" s="15"/>
    </row>
    <row r="303" spans="1:81" x14ac:dyDescent="0.25">
      <c r="A303" s="56">
        <v>41518</v>
      </c>
      <c r="B303" s="8">
        <v>0</v>
      </c>
      <c r="C303" s="8">
        <v>18953.000719866159</v>
      </c>
      <c r="D303" s="8">
        <v>750.24609417915372</v>
      </c>
      <c r="E303" s="8">
        <v>0</v>
      </c>
      <c r="CC303" s="15"/>
    </row>
    <row r="304" spans="1:81" x14ac:dyDescent="0.25">
      <c r="A304" s="56">
        <v>41548</v>
      </c>
      <c r="B304" s="8">
        <v>1385.018180847168</v>
      </c>
      <c r="C304" s="8">
        <v>8000.3814904928213</v>
      </c>
      <c r="D304" s="8">
        <v>0</v>
      </c>
      <c r="E304" s="8">
        <v>0</v>
      </c>
      <c r="CC304" s="15"/>
    </row>
    <row r="305" spans="1:81" x14ac:dyDescent="0.25">
      <c r="A305" s="56">
        <v>41579</v>
      </c>
      <c r="B305" s="8">
        <v>1533.2152519226074</v>
      </c>
      <c r="C305" s="8">
        <v>38000.85161342621</v>
      </c>
      <c r="D305" s="8">
        <v>451.40560455322287</v>
      </c>
      <c r="E305" s="8">
        <v>0</v>
      </c>
      <c r="F305" s="56">
        <f>A305</f>
        <v>41579</v>
      </c>
      <c r="G305" s="8">
        <f>SUM(B301:B309)</f>
        <v>10248.364486694336</v>
      </c>
      <c r="H305" s="8">
        <f>SUM(C301:C305)</f>
        <v>65662.919150409114</v>
      </c>
      <c r="I305" s="8">
        <f>SUM(D294:D305)</f>
        <v>38874.085409215542</v>
      </c>
      <c r="J305" s="8">
        <f>SUM(E293:E304)</f>
        <v>85.574804687500006</v>
      </c>
      <c r="CC305" s="15"/>
    </row>
    <row r="306" spans="1:81" x14ac:dyDescent="0.25">
      <c r="A306" s="56">
        <v>41609</v>
      </c>
      <c r="B306" s="8">
        <v>2435.6910247802734</v>
      </c>
      <c r="C306" s="8">
        <v>61182.999340152754</v>
      </c>
      <c r="D306" s="8">
        <v>0</v>
      </c>
      <c r="E306" s="8">
        <v>0</v>
      </c>
      <c r="CC306" s="15"/>
    </row>
    <row r="307" spans="1:81" x14ac:dyDescent="0.25">
      <c r="A307" s="56">
        <v>41640</v>
      </c>
      <c r="B307" s="8">
        <v>2338.9172668457031</v>
      </c>
      <c r="C307" s="8">
        <v>86026.589350891125</v>
      </c>
      <c r="D307" s="8">
        <v>0</v>
      </c>
      <c r="E307" s="8">
        <v>0</v>
      </c>
      <c r="CC307" s="15"/>
    </row>
    <row r="308" spans="1:81" x14ac:dyDescent="0.25">
      <c r="A308" s="56">
        <v>41671</v>
      </c>
      <c r="B308" s="8">
        <v>1314.9484138488774</v>
      </c>
      <c r="C308" s="8">
        <v>26635.556556466239</v>
      </c>
      <c r="D308" s="8">
        <v>0</v>
      </c>
      <c r="E308" s="8">
        <v>0</v>
      </c>
      <c r="CC308" s="15"/>
    </row>
    <row r="309" spans="1:81" x14ac:dyDescent="0.25">
      <c r="A309" s="56">
        <v>41699</v>
      </c>
      <c r="B309" s="8">
        <v>1240.574348449707</v>
      </c>
      <c r="C309" s="8">
        <v>6644.2459257841101</v>
      </c>
      <c r="D309" s="8">
        <v>4174.0708342075332</v>
      </c>
      <c r="E309" s="8">
        <v>0</v>
      </c>
      <c r="CC309" s="15"/>
    </row>
    <row r="310" spans="1:81" x14ac:dyDescent="0.25">
      <c r="A310" s="56">
        <v>41730</v>
      </c>
      <c r="B310" s="8">
        <v>0</v>
      </c>
      <c r="C310" s="8">
        <v>30.257405865192414</v>
      </c>
      <c r="D310" s="8">
        <v>706.59733352661135</v>
      </c>
      <c r="E310" s="8">
        <v>0</v>
      </c>
      <c r="CC310" s="15"/>
    </row>
    <row r="311" spans="1:81" x14ac:dyDescent="0.25">
      <c r="A311" s="56">
        <v>41760</v>
      </c>
      <c r="B311" s="8">
        <v>0</v>
      </c>
      <c r="C311" s="8">
        <v>11.206844711303717</v>
      </c>
      <c r="D311" s="8">
        <v>0</v>
      </c>
      <c r="E311" s="8">
        <v>0</v>
      </c>
      <c r="CC311" s="15"/>
    </row>
    <row r="312" spans="1:81" x14ac:dyDescent="0.25">
      <c r="A312" s="56">
        <v>41791</v>
      </c>
      <c r="B312" s="8">
        <v>0</v>
      </c>
      <c r="C312" s="8">
        <v>0</v>
      </c>
      <c r="D312" s="8">
        <v>0</v>
      </c>
      <c r="E312" s="8">
        <v>0</v>
      </c>
      <c r="CC312" s="15"/>
    </row>
    <row r="313" spans="1:81" x14ac:dyDescent="0.25">
      <c r="CC313" s="15"/>
    </row>
    <row r="314" spans="1:81" x14ac:dyDescent="0.25">
      <c r="CC314" s="15"/>
    </row>
    <row r="315" spans="1:81" x14ac:dyDescent="0.25">
      <c r="CC315" s="15"/>
    </row>
    <row r="316" spans="1:81" x14ac:dyDescent="0.25">
      <c r="CC316" s="15"/>
    </row>
    <row r="317" spans="1:81" x14ac:dyDescent="0.25">
      <c r="CC317" s="15"/>
    </row>
    <row r="318" spans="1:81" x14ac:dyDescent="0.25">
      <c r="CC318" s="15"/>
    </row>
    <row r="319" spans="1:81" x14ac:dyDescent="0.25">
      <c r="CC319" s="15"/>
    </row>
    <row r="320" spans="1:81" x14ac:dyDescent="0.25">
      <c r="CC320" s="15"/>
    </row>
    <row r="321" spans="81:81" x14ac:dyDescent="0.25">
      <c r="CC321" s="15"/>
    </row>
    <row r="322" spans="81:81" x14ac:dyDescent="0.25">
      <c r="CC322" s="15"/>
    </row>
    <row r="323" spans="81:81" x14ac:dyDescent="0.25">
      <c r="CC323" s="15"/>
    </row>
    <row r="324" spans="81:81" x14ac:dyDescent="0.25">
      <c r="CC324" s="15"/>
    </row>
    <row r="325" spans="81:81" x14ac:dyDescent="0.25">
      <c r="CC325" s="15"/>
    </row>
    <row r="326" spans="81:81" x14ac:dyDescent="0.25">
      <c r="CC326" s="15"/>
    </row>
    <row r="327" spans="81:81" x14ac:dyDescent="0.25">
      <c r="CC327" s="15"/>
    </row>
    <row r="328" spans="81:81" x14ac:dyDescent="0.25">
      <c r="CC328" s="15"/>
    </row>
    <row r="329" spans="81:81" x14ac:dyDescent="0.25">
      <c r="CC329" s="15"/>
    </row>
    <row r="330" spans="81:81" x14ac:dyDescent="0.25">
      <c r="CC330" s="15"/>
    </row>
    <row r="331" spans="81:81" x14ac:dyDescent="0.25">
      <c r="CC331" s="15"/>
    </row>
    <row r="332" spans="81:81" x14ac:dyDescent="0.25">
      <c r="CC332" s="15"/>
    </row>
    <row r="333" spans="81:81" x14ac:dyDescent="0.25">
      <c r="CC333" s="15"/>
    </row>
    <row r="334" spans="81:81" x14ac:dyDescent="0.25">
      <c r="CC334" s="15"/>
    </row>
    <row r="335" spans="81:81" x14ac:dyDescent="0.25">
      <c r="CC335" s="15"/>
    </row>
    <row r="336" spans="81:81" x14ac:dyDescent="0.25">
      <c r="CC336" s="15"/>
    </row>
    <row r="337" spans="81:81" x14ac:dyDescent="0.25">
      <c r="CC337" s="15"/>
    </row>
    <row r="338" spans="81:81" x14ac:dyDescent="0.25">
      <c r="CC338" s="15"/>
    </row>
    <row r="339" spans="81:81" x14ac:dyDescent="0.25">
      <c r="CC339" s="15"/>
    </row>
    <row r="340" spans="81:81" x14ac:dyDescent="0.25">
      <c r="CC340" s="15"/>
    </row>
    <row r="341" spans="81:81" x14ac:dyDescent="0.25">
      <c r="CC341" s="15"/>
    </row>
    <row r="342" spans="81:81" x14ac:dyDescent="0.25">
      <c r="CC342" s="15"/>
    </row>
    <row r="343" spans="81:81" x14ac:dyDescent="0.25">
      <c r="CC343" s="15"/>
    </row>
    <row r="344" spans="81:81" x14ac:dyDescent="0.25">
      <c r="CC344" s="15"/>
    </row>
    <row r="345" spans="81:81" x14ac:dyDescent="0.25">
      <c r="CC345" s="15"/>
    </row>
    <row r="346" spans="81:81" x14ac:dyDescent="0.25">
      <c r="CC346" s="15"/>
    </row>
    <row r="347" spans="81:81" x14ac:dyDescent="0.25">
      <c r="CC347" s="15"/>
    </row>
    <row r="348" spans="81:81" x14ac:dyDescent="0.25">
      <c r="CC348" s="15"/>
    </row>
    <row r="349" spans="81:81" x14ac:dyDescent="0.25">
      <c r="CC349" s="15"/>
    </row>
    <row r="350" spans="81:81" x14ac:dyDescent="0.25">
      <c r="CC350" s="15"/>
    </row>
    <row r="351" spans="81:81" x14ac:dyDescent="0.25">
      <c r="CC351" s="15"/>
    </row>
    <row r="352" spans="81:81" x14ac:dyDescent="0.25">
      <c r="CC352" s="15"/>
    </row>
    <row r="353" spans="81:81" x14ac:dyDescent="0.25">
      <c r="CC353" s="15"/>
    </row>
    <row r="354" spans="81:81" x14ac:dyDescent="0.25">
      <c r="CC354" s="15"/>
    </row>
    <row r="355" spans="81:81" x14ac:dyDescent="0.25">
      <c r="CC355" s="15"/>
    </row>
    <row r="356" spans="81:81" x14ac:dyDescent="0.25">
      <c r="CC356" s="15"/>
    </row>
    <row r="357" spans="81:81" x14ac:dyDescent="0.25">
      <c r="CC357" s="15"/>
    </row>
    <row r="358" spans="81:81" x14ac:dyDescent="0.25">
      <c r="CC358" s="15"/>
    </row>
    <row r="359" spans="81:81" x14ac:dyDescent="0.25">
      <c r="CC359" s="15"/>
    </row>
    <row r="360" spans="81:81" x14ac:dyDescent="0.25">
      <c r="CC360" s="15"/>
    </row>
    <row r="361" spans="81:81" x14ac:dyDescent="0.25">
      <c r="CC361" s="15"/>
    </row>
    <row r="362" spans="81:81" x14ac:dyDescent="0.25">
      <c r="CC362" s="15"/>
    </row>
    <row r="363" spans="81:81" x14ac:dyDescent="0.25">
      <c r="CC363" s="15"/>
    </row>
    <row r="364" spans="81:81" x14ac:dyDescent="0.25">
      <c r="CC364" s="15"/>
    </row>
    <row r="365" spans="81:81" x14ac:dyDescent="0.25">
      <c r="CC365" s="15"/>
    </row>
    <row r="366" spans="81:81" x14ac:dyDescent="0.25">
      <c r="CC366" s="15"/>
    </row>
    <row r="367" spans="81:81" x14ac:dyDescent="0.25">
      <c r="CC367" s="15"/>
    </row>
    <row r="368" spans="81:81" x14ac:dyDescent="0.25">
      <c r="CC368" s="15"/>
    </row>
    <row r="369" spans="81:81" x14ac:dyDescent="0.25">
      <c r="CC369" s="15"/>
    </row>
    <row r="370" spans="81:81" x14ac:dyDescent="0.25">
      <c r="CC370" s="15"/>
    </row>
    <row r="371" spans="81:81" x14ac:dyDescent="0.25">
      <c r="CC371" s="15"/>
    </row>
    <row r="372" spans="81:81" x14ac:dyDescent="0.25">
      <c r="CC372" s="15"/>
    </row>
    <row r="373" spans="81:81" x14ac:dyDescent="0.25">
      <c r="CC373" s="15"/>
    </row>
    <row r="374" spans="81:81" x14ac:dyDescent="0.25">
      <c r="CC374" s="15"/>
    </row>
    <row r="375" spans="81:81" x14ac:dyDescent="0.25">
      <c r="CC375" s="15"/>
    </row>
    <row r="376" spans="81:81" x14ac:dyDescent="0.25">
      <c r="CC376" s="15"/>
    </row>
    <row r="377" spans="81:81" x14ac:dyDescent="0.25">
      <c r="CC377" s="15"/>
    </row>
    <row r="378" spans="81:81" x14ac:dyDescent="0.25">
      <c r="CC378" s="15"/>
    </row>
    <row r="379" spans="81:81" x14ac:dyDescent="0.25">
      <c r="CC379" s="15"/>
    </row>
    <row r="380" spans="81:81" x14ac:dyDescent="0.25">
      <c r="CC380" s="15"/>
    </row>
    <row r="381" spans="81:81" x14ac:dyDescent="0.25">
      <c r="CC381" s="15"/>
    </row>
    <row r="382" spans="81:81" x14ac:dyDescent="0.25">
      <c r="CC382" s="15"/>
    </row>
    <row r="383" spans="81:81" x14ac:dyDescent="0.25">
      <c r="CC383" s="15"/>
    </row>
    <row r="384" spans="81:81" x14ac:dyDescent="0.25">
      <c r="CC384" s="15"/>
    </row>
    <row r="385" spans="81:81" x14ac:dyDescent="0.25">
      <c r="CC385" s="15"/>
    </row>
    <row r="386" spans="81:81" x14ac:dyDescent="0.25">
      <c r="CC386" s="15"/>
    </row>
    <row r="387" spans="81:81" x14ac:dyDescent="0.25">
      <c r="CC387" s="15"/>
    </row>
    <row r="388" spans="81:81" x14ac:dyDescent="0.25">
      <c r="CC388" s="15"/>
    </row>
    <row r="389" spans="81:81" x14ac:dyDescent="0.25">
      <c r="CC389" s="15"/>
    </row>
    <row r="390" spans="81:81" x14ac:dyDescent="0.25">
      <c r="CC390" s="15"/>
    </row>
    <row r="391" spans="81:81" x14ac:dyDescent="0.25">
      <c r="CC391" s="15"/>
    </row>
    <row r="392" spans="81:81" x14ac:dyDescent="0.25">
      <c r="CC392" s="15"/>
    </row>
    <row r="393" spans="81:81" x14ac:dyDescent="0.25">
      <c r="CC393" s="15"/>
    </row>
    <row r="394" spans="81:81" x14ac:dyDescent="0.25">
      <c r="CC394" s="15"/>
    </row>
    <row r="395" spans="81:81" x14ac:dyDescent="0.25">
      <c r="CC395" s="15"/>
    </row>
    <row r="396" spans="81:81" x14ac:dyDescent="0.25">
      <c r="CC396" s="15"/>
    </row>
    <row r="397" spans="81:81" x14ac:dyDescent="0.25">
      <c r="CC397" s="15"/>
    </row>
    <row r="398" spans="81:81" x14ac:dyDescent="0.25">
      <c r="CC398" s="15"/>
    </row>
    <row r="399" spans="81:81" x14ac:dyDescent="0.25">
      <c r="CC399" s="15"/>
    </row>
    <row r="400" spans="81:81" x14ac:dyDescent="0.25">
      <c r="CC400" s="15"/>
    </row>
    <row r="401" spans="81:81" x14ac:dyDescent="0.25">
      <c r="CC401" s="15"/>
    </row>
    <row r="402" spans="81:81" x14ac:dyDescent="0.25">
      <c r="CC402" s="15"/>
    </row>
    <row r="403" spans="81:81" x14ac:dyDescent="0.25">
      <c r="CC403" s="15"/>
    </row>
    <row r="404" spans="81:81" x14ac:dyDescent="0.25">
      <c r="CC404" s="15"/>
    </row>
    <row r="405" spans="81:81" x14ac:dyDescent="0.25">
      <c r="CC405" s="15"/>
    </row>
    <row r="406" spans="81:81" x14ac:dyDescent="0.25">
      <c r="CC406" s="15"/>
    </row>
    <row r="407" spans="81:81" x14ac:dyDescent="0.25">
      <c r="CC407" s="15"/>
    </row>
    <row r="408" spans="81:81" x14ac:dyDescent="0.25">
      <c r="CC408" s="15"/>
    </row>
    <row r="409" spans="81:81" x14ac:dyDescent="0.25">
      <c r="CC409" s="15"/>
    </row>
    <row r="410" spans="81:81" x14ac:dyDescent="0.25">
      <c r="CC410" s="15"/>
    </row>
    <row r="411" spans="81:81" x14ac:dyDescent="0.25">
      <c r="CC411" s="15"/>
    </row>
    <row r="412" spans="81:81" x14ac:dyDescent="0.25">
      <c r="CC412" s="15"/>
    </row>
    <row r="413" spans="81:81" x14ac:dyDescent="0.25">
      <c r="CC413" s="15"/>
    </row>
    <row r="414" spans="81:81" x14ac:dyDescent="0.25">
      <c r="CC414" s="15"/>
    </row>
    <row r="415" spans="81:81" x14ac:dyDescent="0.25">
      <c r="CC415" s="15"/>
    </row>
    <row r="416" spans="81:81" x14ac:dyDescent="0.25">
      <c r="CC416" s="15"/>
    </row>
    <row r="417" spans="81:81" x14ac:dyDescent="0.25">
      <c r="CC417" s="15"/>
    </row>
    <row r="418" spans="81:81" x14ac:dyDescent="0.25">
      <c r="CC418" s="15"/>
    </row>
    <row r="419" spans="81:81" x14ac:dyDescent="0.25">
      <c r="CC419" s="15"/>
    </row>
    <row r="420" spans="81:81" x14ac:dyDescent="0.25">
      <c r="CC420" s="15"/>
    </row>
    <row r="421" spans="81:81" x14ac:dyDescent="0.25">
      <c r="CC421" s="15"/>
    </row>
    <row r="422" spans="81:81" x14ac:dyDescent="0.25">
      <c r="CC422" s="15"/>
    </row>
    <row r="423" spans="81:81" x14ac:dyDescent="0.25">
      <c r="CC423" s="15"/>
    </row>
    <row r="424" spans="81:81" x14ac:dyDescent="0.25">
      <c r="CC424" s="15"/>
    </row>
    <row r="425" spans="81:81" x14ac:dyDescent="0.25">
      <c r="CC425" s="15"/>
    </row>
    <row r="426" spans="81:81" x14ac:dyDescent="0.25">
      <c r="CC426" s="15"/>
    </row>
    <row r="427" spans="81:81" x14ac:dyDescent="0.25">
      <c r="CC427" s="15"/>
    </row>
    <row r="428" spans="81:81" x14ac:dyDescent="0.25">
      <c r="CC428" s="15"/>
    </row>
    <row r="429" spans="81:81" x14ac:dyDescent="0.25">
      <c r="CC429" s="15"/>
    </row>
    <row r="430" spans="81:81" x14ac:dyDescent="0.25">
      <c r="CC430" s="15"/>
    </row>
    <row r="431" spans="81:81" x14ac:dyDescent="0.25">
      <c r="CC431" s="15"/>
    </row>
    <row r="432" spans="81:81" x14ac:dyDescent="0.25">
      <c r="CC432" s="15"/>
    </row>
    <row r="433" spans="81:81" x14ac:dyDescent="0.25">
      <c r="CC433" s="15"/>
    </row>
    <row r="434" spans="81:81" x14ac:dyDescent="0.25">
      <c r="CC434" s="15"/>
    </row>
    <row r="435" spans="81:81" x14ac:dyDescent="0.25">
      <c r="CC435" s="15"/>
    </row>
    <row r="436" spans="81:81" x14ac:dyDescent="0.25">
      <c r="CC436" s="15"/>
    </row>
    <row r="437" spans="81:81" x14ac:dyDescent="0.25">
      <c r="CC437" s="15"/>
    </row>
    <row r="438" spans="81:81" x14ac:dyDescent="0.25">
      <c r="CC438" s="15"/>
    </row>
    <row r="439" spans="81:81" x14ac:dyDescent="0.25">
      <c r="CC439" s="15"/>
    </row>
    <row r="440" spans="81:81" x14ac:dyDescent="0.25">
      <c r="CC440" s="15"/>
    </row>
    <row r="441" spans="81:81" x14ac:dyDescent="0.25">
      <c r="CC441" s="15"/>
    </row>
    <row r="442" spans="81:81" x14ac:dyDescent="0.25">
      <c r="CC442" s="15"/>
    </row>
    <row r="443" spans="81:81" x14ac:dyDescent="0.25">
      <c r="CC443" s="15"/>
    </row>
    <row r="444" spans="81:81" x14ac:dyDescent="0.25">
      <c r="CC444" s="15"/>
    </row>
    <row r="445" spans="81:81" x14ac:dyDescent="0.25">
      <c r="CC445" s="15"/>
    </row>
    <row r="446" spans="81:81" x14ac:dyDescent="0.25">
      <c r="CC446" s="15"/>
    </row>
    <row r="447" spans="81:81" x14ac:dyDescent="0.25">
      <c r="CC447" s="15"/>
    </row>
    <row r="448" spans="81:81" x14ac:dyDescent="0.25">
      <c r="CC448" s="15"/>
    </row>
    <row r="449" spans="81:81" x14ac:dyDescent="0.25">
      <c r="CC449" s="15"/>
    </row>
    <row r="450" spans="81:81" x14ac:dyDescent="0.25">
      <c r="CC450" s="15"/>
    </row>
    <row r="451" spans="81:81" x14ac:dyDescent="0.25">
      <c r="CC451" s="15"/>
    </row>
    <row r="452" spans="81:81" x14ac:dyDescent="0.25">
      <c r="CC452" s="15"/>
    </row>
    <row r="453" spans="81:81" x14ac:dyDescent="0.25">
      <c r="CC453" s="15"/>
    </row>
    <row r="454" spans="81:81" x14ac:dyDescent="0.25">
      <c r="CC454" s="15"/>
    </row>
    <row r="455" spans="81:81" x14ac:dyDescent="0.25">
      <c r="CC455" s="15"/>
    </row>
    <row r="456" spans="81:81" x14ac:dyDescent="0.25">
      <c r="CC456" s="15"/>
    </row>
    <row r="457" spans="81:81" x14ac:dyDescent="0.25">
      <c r="CC457" s="15"/>
    </row>
    <row r="458" spans="81:81" x14ac:dyDescent="0.25">
      <c r="CC458" s="15"/>
    </row>
    <row r="459" spans="81:81" x14ac:dyDescent="0.25">
      <c r="CC459" s="15"/>
    </row>
    <row r="460" spans="81:81" x14ac:dyDescent="0.25">
      <c r="CC460" s="15"/>
    </row>
    <row r="461" spans="81:81" x14ac:dyDescent="0.25">
      <c r="CC461" s="15"/>
    </row>
    <row r="462" spans="81:81" x14ac:dyDescent="0.25">
      <c r="CC462" s="15"/>
    </row>
    <row r="463" spans="81:81" x14ac:dyDescent="0.25">
      <c r="CC463" s="15"/>
    </row>
    <row r="464" spans="81:81" x14ac:dyDescent="0.25">
      <c r="CC464" s="15"/>
    </row>
    <row r="465" spans="81:81" x14ac:dyDescent="0.25">
      <c r="CC465" s="15"/>
    </row>
    <row r="466" spans="81:81" x14ac:dyDescent="0.25">
      <c r="CC466" s="15"/>
    </row>
    <row r="467" spans="81:81" x14ac:dyDescent="0.25">
      <c r="CC467" s="15"/>
    </row>
    <row r="468" spans="81:81" x14ac:dyDescent="0.25">
      <c r="CC468" s="15"/>
    </row>
    <row r="469" spans="81:81" x14ac:dyDescent="0.25">
      <c r="CC469" s="15"/>
    </row>
    <row r="470" spans="81:81" x14ac:dyDescent="0.25">
      <c r="CC470" s="15"/>
    </row>
    <row r="471" spans="81:81" x14ac:dyDescent="0.25">
      <c r="CC471" s="15"/>
    </row>
    <row r="472" spans="81:81" x14ac:dyDescent="0.25">
      <c r="CC472" s="15"/>
    </row>
    <row r="473" spans="81:81" x14ac:dyDescent="0.25">
      <c r="CC473" s="15"/>
    </row>
    <row r="474" spans="81:81" x14ac:dyDescent="0.25">
      <c r="CC474" s="15"/>
    </row>
    <row r="475" spans="81:81" x14ac:dyDescent="0.25">
      <c r="CC475" s="15"/>
    </row>
    <row r="476" spans="81:81" x14ac:dyDescent="0.25">
      <c r="CC476" s="15"/>
    </row>
    <row r="477" spans="81:81" x14ac:dyDescent="0.25">
      <c r="CC477" s="15"/>
    </row>
    <row r="478" spans="81:81" x14ac:dyDescent="0.25">
      <c r="CC478" s="15"/>
    </row>
    <row r="479" spans="81:81" x14ac:dyDescent="0.25">
      <c r="CC479" s="15"/>
    </row>
    <row r="480" spans="81:81" x14ac:dyDescent="0.25">
      <c r="CC480" s="15"/>
    </row>
    <row r="481" spans="81:81" x14ac:dyDescent="0.25">
      <c r="CC481" s="15"/>
    </row>
    <row r="482" spans="81:81" x14ac:dyDescent="0.25">
      <c r="CC482" s="15"/>
    </row>
    <row r="483" spans="81:81" x14ac:dyDescent="0.25">
      <c r="CC483" s="15"/>
    </row>
    <row r="484" spans="81:81" x14ac:dyDescent="0.25">
      <c r="CC484" s="15"/>
    </row>
    <row r="485" spans="81:81" x14ac:dyDescent="0.25">
      <c r="CC485" s="15"/>
    </row>
    <row r="486" spans="81:81" x14ac:dyDescent="0.25">
      <c r="CC486" s="15"/>
    </row>
    <row r="487" spans="81:81" x14ac:dyDescent="0.25">
      <c r="CC487" s="15"/>
    </row>
    <row r="488" spans="81:81" x14ac:dyDescent="0.25">
      <c r="CC488" s="15"/>
    </row>
    <row r="489" spans="81:81" x14ac:dyDescent="0.25">
      <c r="CC489" s="15"/>
    </row>
    <row r="490" spans="81:81" x14ac:dyDescent="0.25">
      <c r="CC490" s="15"/>
    </row>
    <row r="491" spans="81:81" x14ac:dyDescent="0.25">
      <c r="CC491" s="15"/>
    </row>
    <row r="492" spans="81:81" x14ac:dyDescent="0.25">
      <c r="CC492" s="15"/>
    </row>
    <row r="493" spans="81:81" x14ac:dyDescent="0.25">
      <c r="CC493" s="15"/>
    </row>
    <row r="494" spans="81:81" x14ac:dyDescent="0.25">
      <c r="CC494" s="15"/>
    </row>
    <row r="495" spans="81:81" x14ac:dyDescent="0.25">
      <c r="CC495" s="15"/>
    </row>
    <row r="496" spans="81:81" x14ac:dyDescent="0.25">
      <c r="CC496" s="15"/>
    </row>
    <row r="497" spans="81:81" x14ac:dyDescent="0.25">
      <c r="CC497" s="15"/>
    </row>
    <row r="498" spans="81:81" x14ac:dyDescent="0.25">
      <c r="CC498" s="15"/>
    </row>
    <row r="499" spans="81:81" x14ac:dyDescent="0.25">
      <c r="CC499" s="15"/>
    </row>
    <row r="500" spans="81:81" x14ac:dyDescent="0.25">
      <c r="CC500" s="15"/>
    </row>
    <row r="501" spans="81:81" x14ac:dyDescent="0.25">
      <c r="CC501" s="15"/>
    </row>
    <row r="502" spans="81:81" x14ac:dyDescent="0.25">
      <c r="CC502" s="15"/>
    </row>
    <row r="503" spans="81:81" x14ac:dyDescent="0.25">
      <c r="CC503" s="15"/>
    </row>
    <row r="504" spans="81:81" x14ac:dyDescent="0.25">
      <c r="CC504" s="15"/>
    </row>
    <row r="505" spans="81:81" x14ac:dyDescent="0.25">
      <c r="CC505" s="15"/>
    </row>
    <row r="506" spans="81:81" x14ac:dyDescent="0.25">
      <c r="CC506" s="15"/>
    </row>
    <row r="507" spans="81:81" x14ac:dyDescent="0.25">
      <c r="CC507" s="15"/>
    </row>
    <row r="508" spans="81:81" x14ac:dyDescent="0.25">
      <c r="CC508" s="15"/>
    </row>
    <row r="509" spans="81:81" x14ac:dyDescent="0.25">
      <c r="CC509" s="15"/>
    </row>
    <row r="510" spans="81:81" x14ac:dyDescent="0.25">
      <c r="CC510" s="15"/>
    </row>
    <row r="511" spans="81:81" x14ac:dyDescent="0.25">
      <c r="CC511" s="15"/>
    </row>
    <row r="512" spans="81:81" x14ac:dyDescent="0.25">
      <c r="CC512" s="15"/>
    </row>
    <row r="513" spans="81:81" x14ac:dyDescent="0.25">
      <c r="CC513" s="15"/>
    </row>
    <row r="514" spans="81:81" x14ac:dyDescent="0.25">
      <c r="CC514" s="15"/>
    </row>
    <row r="515" spans="81:81" x14ac:dyDescent="0.25">
      <c r="CC515" s="15"/>
    </row>
    <row r="516" spans="81:81" x14ac:dyDescent="0.25">
      <c r="CC516" s="15"/>
    </row>
    <row r="517" spans="81:81" x14ac:dyDescent="0.25">
      <c r="CC517" s="15"/>
    </row>
    <row r="518" spans="81:81" x14ac:dyDescent="0.25">
      <c r="CC518" s="15"/>
    </row>
    <row r="519" spans="81:81" x14ac:dyDescent="0.25">
      <c r="CC519" s="15"/>
    </row>
    <row r="520" spans="81:81" x14ac:dyDescent="0.25">
      <c r="CC520" s="15"/>
    </row>
    <row r="521" spans="81:81" x14ac:dyDescent="0.25">
      <c r="CC521" s="15"/>
    </row>
    <row r="522" spans="81:81" x14ac:dyDescent="0.25">
      <c r="CC522" s="15"/>
    </row>
    <row r="523" spans="81:81" x14ac:dyDescent="0.25">
      <c r="CC523" s="15"/>
    </row>
    <row r="524" spans="81:81" x14ac:dyDescent="0.25">
      <c r="CC524" s="15"/>
    </row>
    <row r="525" spans="81:81" x14ac:dyDescent="0.25">
      <c r="CC525" s="15"/>
    </row>
    <row r="526" spans="81:81" x14ac:dyDescent="0.25">
      <c r="CC526" s="15"/>
    </row>
    <row r="527" spans="81:81" x14ac:dyDescent="0.25">
      <c r="CC527" s="15"/>
    </row>
    <row r="528" spans="81:81" x14ac:dyDescent="0.25">
      <c r="CC528" s="15"/>
    </row>
    <row r="529" spans="81:81" x14ac:dyDescent="0.25">
      <c r="CC529" s="15"/>
    </row>
    <row r="530" spans="81:81" x14ac:dyDescent="0.25">
      <c r="CC530" s="15"/>
    </row>
    <row r="531" spans="81:81" x14ac:dyDescent="0.25">
      <c r="CC531" s="15"/>
    </row>
    <row r="532" spans="81:81" x14ac:dyDescent="0.25">
      <c r="CC532" s="15"/>
    </row>
    <row r="533" spans="81:81" x14ac:dyDescent="0.25">
      <c r="CC533" s="15"/>
    </row>
    <row r="534" spans="81:81" x14ac:dyDescent="0.25">
      <c r="CC534" s="15"/>
    </row>
    <row r="535" spans="81:81" x14ac:dyDescent="0.25">
      <c r="CC535" s="15"/>
    </row>
    <row r="536" spans="81:81" x14ac:dyDescent="0.25">
      <c r="CC536" s="15"/>
    </row>
    <row r="537" spans="81:81" x14ac:dyDescent="0.25">
      <c r="CC537" s="15"/>
    </row>
    <row r="538" spans="81:81" x14ac:dyDescent="0.25">
      <c r="CC538" s="15"/>
    </row>
    <row r="539" spans="81:81" x14ac:dyDescent="0.25">
      <c r="CC539" s="15"/>
    </row>
    <row r="540" spans="81:81" x14ac:dyDescent="0.25">
      <c r="CC540" s="15"/>
    </row>
    <row r="541" spans="81:81" x14ac:dyDescent="0.25">
      <c r="CC541" s="15"/>
    </row>
    <row r="542" spans="81:81" x14ac:dyDescent="0.25">
      <c r="CC542" s="15"/>
    </row>
    <row r="543" spans="81:81" x14ac:dyDescent="0.25">
      <c r="CC543" s="15"/>
    </row>
    <row r="544" spans="81:81" x14ac:dyDescent="0.25">
      <c r="CC544" s="15"/>
    </row>
    <row r="545" spans="81:81" x14ac:dyDescent="0.25">
      <c r="CC545" s="15"/>
    </row>
    <row r="546" spans="81:81" x14ac:dyDescent="0.25">
      <c r="CC546" s="15"/>
    </row>
    <row r="547" spans="81:81" x14ac:dyDescent="0.25">
      <c r="CC547" s="15"/>
    </row>
    <row r="548" spans="81:81" x14ac:dyDescent="0.25">
      <c r="CC548" s="15"/>
    </row>
    <row r="549" spans="81:81" x14ac:dyDescent="0.25">
      <c r="CC549" s="15"/>
    </row>
    <row r="550" spans="81:81" x14ac:dyDescent="0.25">
      <c r="CC550" s="15"/>
    </row>
    <row r="551" spans="81:81" x14ac:dyDescent="0.25">
      <c r="CC551" s="15"/>
    </row>
    <row r="552" spans="81:81" x14ac:dyDescent="0.25">
      <c r="CC552" s="15"/>
    </row>
    <row r="553" spans="81:81" x14ac:dyDescent="0.25">
      <c r="CC553" s="15"/>
    </row>
    <row r="554" spans="81:81" x14ac:dyDescent="0.25">
      <c r="CC554" s="15"/>
    </row>
    <row r="555" spans="81:81" x14ac:dyDescent="0.25">
      <c r="CC555" s="15"/>
    </row>
    <row r="556" spans="81:81" x14ac:dyDescent="0.25">
      <c r="CC556" s="15"/>
    </row>
    <row r="557" spans="81:81" x14ac:dyDescent="0.25">
      <c r="CC557" s="15"/>
    </row>
    <row r="558" spans="81:81" x14ac:dyDescent="0.25">
      <c r="CC558" s="15"/>
    </row>
    <row r="559" spans="81:81" x14ac:dyDescent="0.25">
      <c r="CC559" s="15"/>
    </row>
    <row r="560" spans="81:81" x14ac:dyDescent="0.25">
      <c r="CC560" s="15"/>
    </row>
    <row r="561" spans="81:81" x14ac:dyDescent="0.25">
      <c r="CC561" s="15"/>
    </row>
    <row r="562" spans="81:81" x14ac:dyDescent="0.25">
      <c r="CC562" s="15"/>
    </row>
    <row r="563" spans="81:81" x14ac:dyDescent="0.25">
      <c r="CC563" s="15"/>
    </row>
    <row r="564" spans="81:81" x14ac:dyDescent="0.25">
      <c r="CC564" s="15"/>
    </row>
    <row r="565" spans="81:81" x14ac:dyDescent="0.25">
      <c r="CC565" s="15"/>
    </row>
    <row r="566" spans="81:81" x14ac:dyDescent="0.25">
      <c r="CC566" s="15"/>
    </row>
    <row r="567" spans="81:81" x14ac:dyDescent="0.25">
      <c r="CC567" s="15"/>
    </row>
    <row r="568" spans="81:81" x14ac:dyDescent="0.25">
      <c r="CC568" s="15"/>
    </row>
    <row r="569" spans="81:81" x14ac:dyDescent="0.25">
      <c r="CC569" s="15"/>
    </row>
    <row r="570" spans="81:81" x14ac:dyDescent="0.25">
      <c r="CC570" s="15"/>
    </row>
    <row r="571" spans="81:81" x14ac:dyDescent="0.25">
      <c r="CC571" s="15"/>
    </row>
    <row r="572" spans="81:81" x14ac:dyDescent="0.25">
      <c r="CC572" s="15"/>
    </row>
    <row r="573" spans="81:81" x14ac:dyDescent="0.25">
      <c r="CC573" s="15"/>
    </row>
    <row r="574" spans="81:81" x14ac:dyDescent="0.25">
      <c r="CC574" s="15"/>
    </row>
    <row r="575" spans="81:81" x14ac:dyDescent="0.25">
      <c r="CC575" s="15"/>
    </row>
    <row r="576" spans="81:81" x14ac:dyDescent="0.25">
      <c r="CC576" s="15"/>
    </row>
    <row r="577" spans="81:81" x14ac:dyDescent="0.25">
      <c r="CC577" s="15"/>
    </row>
    <row r="578" spans="81:81" x14ac:dyDescent="0.25">
      <c r="CC578" s="15"/>
    </row>
    <row r="579" spans="81:81" x14ac:dyDescent="0.25">
      <c r="CC579" s="15"/>
    </row>
    <row r="580" spans="81:81" x14ac:dyDescent="0.25">
      <c r="CC580" s="15"/>
    </row>
    <row r="581" spans="81:81" x14ac:dyDescent="0.25">
      <c r="CC581" s="15"/>
    </row>
    <row r="582" spans="81:81" x14ac:dyDescent="0.25">
      <c r="CC582" s="15"/>
    </row>
    <row r="583" spans="81:81" x14ac:dyDescent="0.25">
      <c r="CC583" s="15"/>
    </row>
    <row r="584" spans="81:81" x14ac:dyDescent="0.25">
      <c r="CC584" s="15"/>
    </row>
    <row r="585" spans="81:81" x14ac:dyDescent="0.25">
      <c r="CC585" s="15"/>
    </row>
    <row r="586" spans="81:81" x14ac:dyDescent="0.25">
      <c r="CC586" s="15"/>
    </row>
    <row r="587" spans="81:81" x14ac:dyDescent="0.25">
      <c r="CC587" s="15"/>
    </row>
    <row r="588" spans="81:81" x14ac:dyDescent="0.25">
      <c r="CC588" s="15"/>
    </row>
    <row r="589" spans="81:81" x14ac:dyDescent="0.25">
      <c r="CC589" s="15"/>
    </row>
    <row r="590" spans="81:81" x14ac:dyDescent="0.25">
      <c r="CC590" s="15"/>
    </row>
    <row r="591" spans="81:81" x14ac:dyDescent="0.25">
      <c r="CC591" s="15"/>
    </row>
    <row r="592" spans="81:81" x14ac:dyDescent="0.25">
      <c r="CC592" s="15"/>
    </row>
    <row r="593" spans="81:81" x14ac:dyDescent="0.25">
      <c r="CC593" s="15"/>
    </row>
    <row r="594" spans="81:81" x14ac:dyDescent="0.25">
      <c r="CC594" s="15"/>
    </row>
    <row r="595" spans="81:81" x14ac:dyDescent="0.25">
      <c r="CC595" s="15"/>
    </row>
    <row r="596" spans="81:81" x14ac:dyDescent="0.25">
      <c r="CC596" s="15"/>
    </row>
    <row r="597" spans="81:81" x14ac:dyDescent="0.25">
      <c r="CC597" s="15"/>
    </row>
    <row r="598" spans="81:81" x14ac:dyDescent="0.25">
      <c r="CC598" s="15"/>
    </row>
    <row r="599" spans="81:81" x14ac:dyDescent="0.25">
      <c r="CC599" s="15"/>
    </row>
    <row r="600" spans="81:81" x14ac:dyDescent="0.25">
      <c r="CC600" s="15"/>
    </row>
    <row r="601" spans="81:81" x14ac:dyDescent="0.25">
      <c r="CC601" s="15"/>
    </row>
    <row r="602" spans="81:81" x14ac:dyDescent="0.25">
      <c r="CC602" s="15"/>
    </row>
    <row r="603" spans="81:81" x14ac:dyDescent="0.25">
      <c r="CC603" s="15"/>
    </row>
    <row r="604" spans="81:81" x14ac:dyDescent="0.25">
      <c r="CC604" s="15"/>
    </row>
    <row r="605" spans="81:81" x14ac:dyDescent="0.25">
      <c r="CC605" s="15"/>
    </row>
    <row r="606" spans="81:81" x14ac:dyDescent="0.25">
      <c r="CC606" s="15"/>
    </row>
    <row r="607" spans="81:81" x14ac:dyDescent="0.25">
      <c r="CC607" s="15"/>
    </row>
    <row r="608" spans="81:81" x14ac:dyDescent="0.25">
      <c r="CC608" s="15"/>
    </row>
    <row r="609" spans="81:81" x14ac:dyDescent="0.25">
      <c r="CC609" s="15"/>
    </row>
    <row r="610" spans="81:81" x14ac:dyDescent="0.25">
      <c r="CC610" s="15"/>
    </row>
    <row r="611" spans="81:81" x14ac:dyDescent="0.25">
      <c r="CC611" s="15"/>
    </row>
    <row r="612" spans="81:81" x14ac:dyDescent="0.25">
      <c r="CC612" s="15"/>
    </row>
    <row r="613" spans="81:81" x14ac:dyDescent="0.25">
      <c r="CC613" s="15"/>
    </row>
    <row r="614" spans="81:81" x14ac:dyDescent="0.25">
      <c r="CC614" s="15"/>
    </row>
    <row r="615" spans="81:81" x14ac:dyDescent="0.25">
      <c r="CC615" s="15"/>
    </row>
    <row r="616" spans="81:81" x14ac:dyDescent="0.25">
      <c r="CC616" s="15"/>
    </row>
    <row r="617" spans="81:81" x14ac:dyDescent="0.25">
      <c r="CC617" s="15"/>
    </row>
    <row r="618" spans="81:81" x14ac:dyDescent="0.25">
      <c r="CC618" s="15"/>
    </row>
    <row r="619" spans="81:81" x14ac:dyDescent="0.25">
      <c r="CC619" s="15"/>
    </row>
    <row r="620" spans="81:81" x14ac:dyDescent="0.25">
      <c r="CC620" s="15"/>
    </row>
    <row r="621" spans="81:81" x14ac:dyDescent="0.25">
      <c r="CC621" s="15"/>
    </row>
    <row r="622" spans="81:81" x14ac:dyDescent="0.25">
      <c r="CC622" s="15"/>
    </row>
    <row r="623" spans="81:81" x14ac:dyDescent="0.25">
      <c r="CC623" s="15"/>
    </row>
    <row r="624" spans="81:81" x14ac:dyDescent="0.25">
      <c r="CC624" s="15"/>
    </row>
    <row r="625" spans="81:81" x14ac:dyDescent="0.25">
      <c r="CC625" s="15"/>
    </row>
    <row r="626" spans="81:81" x14ac:dyDescent="0.25">
      <c r="CC626" s="15"/>
    </row>
    <row r="627" spans="81:81" x14ac:dyDescent="0.25">
      <c r="CC627" s="15"/>
    </row>
    <row r="628" spans="81:81" x14ac:dyDescent="0.25">
      <c r="CC628" s="15"/>
    </row>
    <row r="629" spans="81:81" x14ac:dyDescent="0.25">
      <c r="CC629" s="15"/>
    </row>
    <row r="630" spans="81:81" x14ac:dyDescent="0.25">
      <c r="CC630" s="15"/>
    </row>
    <row r="631" spans="81:81" x14ac:dyDescent="0.25">
      <c r="CC631" s="15"/>
    </row>
    <row r="632" spans="81:81" x14ac:dyDescent="0.25">
      <c r="CC632" s="15"/>
    </row>
    <row r="633" spans="81:81" x14ac:dyDescent="0.25">
      <c r="CC633" s="15"/>
    </row>
    <row r="634" spans="81:81" x14ac:dyDescent="0.25">
      <c r="CC634" s="15"/>
    </row>
    <row r="635" spans="81:81" x14ac:dyDescent="0.25">
      <c r="CC635" s="15"/>
    </row>
    <row r="636" spans="81:81" x14ac:dyDescent="0.25">
      <c r="CC636" s="15"/>
    </row>
    <row r="637" spans="81:81" x14ac:dyDescent="0.25">
      <c r="CC637" s="15"/>
    </row>
    <row r="638" spans="81:81" x14ac:dyDescent="0.25">
      <c r="CC638" s="15"/>
    </row>
    <row r="639" spans="81:81" x14ac:dyDescent="0.25">
      <c r="CC639" s="15"/>
    </row>
    <row r="640" spans="81:81" x14ac:dyDescent="0.25">
      <c r="CC640" s="15"/>
    </row>
    <row r="641" spans="81:81" x14ac:dyDescent="0.25">
      <c r="CC641" s="15"/>
    </row>
    <row r="642" spans="81:81" x14ac:dyDescent="0.25">
      <c r="CC642" s="15"/>
    </row>
    <row r="643" spans="81:81" x14ac:dyDescent="0.25">
      <c r="CC643" s="15"/>
    </row>
    <row r="644" spans="81:81" x14ac:dyDescent="0.25">
      <c r="CC644" s="15"/>
    </row>
    <row r="645" spans="81:81" x14ac:dyDescent="0.25">
      <c r="CC645" s="15"/>
    </row>
    <row r="646" spans="81:81" x14ac:dyDescent="0.25">
      <c r="CC646" s="15"/>
    </row>
    <row r="647" spans="81:81" x14ac:dyDescent="0.25">
      <c r="CC647" s="15"/>
    </row>
    <row r="648" spans="81:81" x14ac:dyDescent="0.25">
      <c r="CC648" s="15"/>
    </row>
    <row r="649" spans="81:81" x14ac:dyDescent="0.25">
      <c r="CC649" s="15"/>
    </row>
    <row r="650" spans="81:81" x14ac:dyDescent="0.25">
      <c r="CC650" s="15"/>
    </row>
    <row r="651" spans="81:81" x14ac:dyDescent="0.25">
      <c r="CC651" s="15"/>
    </row>
    <row r="652" spans="81:81" x14ac:dyDescent="0.25">
      <c r="CC652" s="15"/>
    </row>
    <row r="653" spans="81:81" x14ac:dyDescent="0.25">
      <c r="CC653" s="15"/>
    </row>
    <row r="654" spans="81:81" x14ac:dyDescent="0.25">
      <c r="CC654" s="15"/>
    </row>
    <row r="655" spans="81:81" x14ac:dyDescent="0.25">
      <c r="CC655" s="15"/>
    </row>
    <row r="656" spans="81:81" x14ac:dyDescent="0.25">
      <c r="CC656" s="15"/>
    </row>
    <row r="657" spans="81:81" x14ac:dyDescent="0.25">
      <c r="CC657" s="15"/>
    </row>
    <row r="658" spans="81:81" x14ac:dyDescent="0.25">
      <c r="CC658" s="15"/>
    </row>
    <row r="659" spans="81:81" x14ac:dyDescent="0.25">
      <c r="CC659" s="15"/>
    </row>
    <row r="660" spans="81:81" x14ac:dyDescent="0.25">
      <c r="CC660" s="15"/>
    </row>
    <row r="661" spans="81:81" x14ac:dyDescent="0.25">
      <c r="CC661" s="15"/>
    </row>
    <row r="662" spans="81:81" x14ac:dyDescent="0.25">
      <c r="CC662" s="15"/>
    </row>
    <row r="663" spans="81:81" x14ac:dyDescent="0.25">
      <c r="CC663" s="15"/>
    </row>
    <row r="664" spans="81:81" x14ac:dyDescent="0.25">
      <c r="CC664" s="15"/>
    </row>
    <row r="665" spans="81:81" x14ac:dyDescent="0.25">
      <c r="CC665" s="15"/>
    </row>
    <row r="666" spans="81:81" x14ac:dyDescent="0.25">
      <c r="CC666" s="15"/>
    </row>
    <row r="667" spans="81:81" x14ac:dyDescent="0.25">
      <c r="CC667" s="15"/>
    </row>
    <row r="668" spans="81:81" x14ac:dyDescent="0.25">
      <c r="CC668" s="15"/>
    </row>
    <row r="669" spans="81:81" x14ac:dyDescent="0.25">
      <c r="CC669" s="15"/>
    </row>
    <row r="670" spans="81:81" x14ac:dyDescent="0.25">
      <c r="CC670" s="15"/>
    </row>
    <row r="671" spans="81:81" x14ac:dyDescent="0.25">
      <c r="CC671" s="15"/>
    </row>
    <row r="672" spans="81:81" x14ac:dyDescent="0.25">
      <c r="CC672" s="15"/>
    </row>
    <row r="673" spans="81:81" x14ac:dyDescent="0.25">
      <c r="CC673" s="15"/>
    </row>
    <row r="674" spans="81:81" x14ac:dyDescent="0.25">
      <c r="CC674" s="15"/>
    </row>
    <row r="675" spans="81:81" x14ac:dyDescent="0.25">
      <c r="CC675" s="15"/>
    </row>
    <row r="676" spans="81:81" x14ac:dyDescent="0.25">
      <c r="CC676" s="15"/>
    </row>
    <row r="677" spans="81:81" x14ac:dyDescent="0.25">
      <c r="CC677" s="15"/>
    </row>
    <row r="678" spans="81:81" x14ac:dyDescent="0.25">
      <c r="CC678" s="15"/>
    </row>
    <row r="679" spans="81:81" x14ac:dyDescent="0.25">
      <c r="CC679" s="15"/>
    </row>
    <row r="680" spans="81:81" x14ac:dyDescent="0.25">
      <c r="CC680" s="15"/>
    </row>
    <row r="681" spans="81:81" x14ac:dyDescent="0.25">
      <c r="CC681" s="15"/>
    </row>
    <row r="682" spans="81:81" x14ac:dyDescent="0.25">
      <c r="CC682" s="15"/>
    </row>
    <row r="683" spans="81:81" x14ac:dyDescent="0.25">
      <c r="CC683" s="15"/>
    </row>
    <row r="684" spans="81:81" x14ac:dyDescent="0.25">
      <c r="CC684" s="15"/>
    </row>
    <row r="685" spans="81:81" x14ac:dyDescent="0.25">
      <c r="CC685" s="15"/>
    </row>
    <row r="686" spans="81:81" x14ac:dyDescent="0.25">
      <c r="CC686" s="15"/>
    </row>
    <row r="687" spans="81:81" x14ac:dyDescent="0.25">
      <c r="CC687" s="15"/>
    </row>
    <row r="688" spans="81:81" x14ac:dyDescent="0.25">
      <c r="CC688" s="15"/>
    </row>
    <row r="689" spans="81:81" x14ac:dyDescent="0.25">
      <c r="CC689" s="15"/>
    </row>
    <row r="690" spans="81:81" x14ac:dyDescent="0.25">
      <c r="CC690" s="15"/>
    </row>
    <row r="691" spans="81:81" x14ac:dyDescent="0.25">
      <c r="CC691" s="15"/>
    </row>
    <row r="692" spans="81:81" x14ac:dyDescent="0.25">
      <c r="CC692" s="15"/>
    </row>
    <row r="693" spans="81:81" x14ac:dyDescent="0.25">
      <c r="CC693" s="15"/>
    </row>
    <row r="694" spans="81:81" x14ac:dyDescent="0.25">
      <c r="CC694" s="15"/>
    </row>
    <row r="695" spans="81:81" x14ac:dyDescent="0.25">
      <c r="CC695" s="15"/>
    </row>
    <row r="696" spans="81:81" x14ac:dyDescent="0.25">
      <c r="CC696" s="15"/>
    </row>
    <row r="697" spans="81:81" x14ac:dyDescent="0.25">
      <c r="CC697" s="15"/>
    </row>
    <row r="698" spans="81:81" x14ac:dyDescent="0.25">
      <c r="CC698" s="15"/>
    </row>
    <row r="699" spans="81:81" x14ac:dyDescent="0.25">
      <c r="CC699" s="15"/>
    </row>
    <row r="700" spans="81:81" x14ac:dyDescent="0.25">
      <c r="CC700" s="15"/>
    </row>
    <row r="701" spans="81:81" x14ac:dyDescent="0.25">
      <c r="CC701" s="15"/>
    </row>
    <row r="702" spans="81:81" x14ac:dyDescent="0.25">
      <c r="CC702" s="15"/>
    </row>
    <row r="703" spans="81:81" x14ac:dyDescent="0.25">
      <c r="CC703" s="15"/>
    </row>
    <row r="704" spans="81:81" x14ac:dyDescent="0.25">
      <c r="CC704" s="15"/>
    </row>
    <row r="705" spans="81:81" x14ac:dyDescent="0.25">
      <c r="CC705" s="15"/>
    </row>
    <row r="706" spans="81:81" x14ac:dyDescent="0.25">
      <c r="CC706" s="15"/>
    </row>
    <row r="707" spans="81:81" x14ac:dyDescent="0.25">
      <c r="CC707" s="15"/>
    </row>
    <row r="708" spans="81:81" x14ac:dyDescent="0.25">
      <c r="CC708" s="15"/>
    </row>
    <row r="709" spans="81:81" x14ac:dyDescent="0.25">
      <c r="CC709" s="15"/>
    </row>
    <row r="710" spans="81:81" x14ac:dyDescent="0.25">
      <c r="CC710" s="15"/>
    </row>
    <row r="711" spans="81:81" x14ac:dyDescent="0.25">
      <c r="CC711" s="15"/>
    </row>
    <row r="712" spans="81:81" x14ac:dyDescent="0.25">
      <c r="CC712" s="15"/>
    </row>
    <row r="713" spans="81:81" x14ac:dyDescent="0.25">
      <c r="CC713" s="15"/>
    </row>
    <row r="714" spans="81:81" x14ac:dyDescent="0.25">
      <c r="CC714" s="15"/>
    </row>
    <row r="715" spans="81:81" x14ac:dyDescent="0.25">
      <c r="CC715" s="15"/>
    </row>
    <row r="716" spans="81:81" x14ac:dyDescent="0.25">
      <c r="CC716" s="15"/>
    </row>
    <row r="717" spans="81:81" x14ac:dyDescent="0.25">
      <c r="CC717" s="15"/>
    </row>
    <row r="718" spans="81:81" x14ac:dyDescent="0.25">
      <c r="CC718" s="15"/>
    </row>
    <row r="719" spans="81:81" x14ac:dyDescent="0.25">
      <c r="CC719" s="15"/>
    </row>
    <row r="720" spans="81:81" x14ac:dyDescent="0.25">
      <c r="CC720" s="15"/>
    </row>
    <row r="721" spans="81:81" x14ac:dyDescent="0.25">
      <c r="CC721" s="15"/>
    </row>
    <row r="722" spans="81:81" x14ac:dyDescent="0.25">
      <c r="CC722" s="15"/>
    </row>
    <row r="723" spans="81:81" x14ac:dyDescent="0.25">
      <c r="CC723" s="15"/>
    </row>
    <row r="724" spans="81:81" x14ac:dyDescent="0.25">
      <c r="CC724" s="15"/>
    </row>
    <row r="725" spans="81:81" x14ac:dyDescent="0.25">
      <c r="CC725" s="15"/>
    </row>
    <row r="726" spans="81:81" x14ac:dyDescent="0.25">
      <c r="CC726" s="15"/>
    </row>
    <row r="727" spans="81:81" x14ac:dyDescent="0.25">
      <c r="CC727" s="15"/>
    </row>
    <row r="728" spans="81:81" x14ac:dyDescent="0.25">
      <c r="CC728" s="15"/>
    </row>
    <row r="729" spans="81:81" x14ac:dyDescent="0.25">
      <c r="CC729" s="15"/>
    </row>
    <row r="730" spans="81:81" x14ac:dyDescent="0.25">
      <c r="CC730" s="15"/>
    </row>
    <row r="731" spans="81:81" x14ac:dyDescent="0.25">
      <c r="CC731" s="15"/>
    </row>
    <row r="732" spans="81:81" x14ac:dyDescent="0.25">
      <c r="CC732" s="15"/>
    </row>
    <row r="733" spans="81:81" x14ac:dyDescent="0.25">
      <c r="CC733" s="15"/>
    </row>
    <row r="734" spans="81:81" x14ac:dyDescent="0.25">
      <c r="CC734" s="15"/>
    </row>
    <row r="735" spans="81:81" x14ac:dyDescent="0.25">
      <c r="CC735" s="15"/>
    </row>
    <row r="736" spans="81:81" x14ac:dyDescent="0.25">
      <c r="CC736" s="15"/>
    </row>
    <row r="737" spans="81:81" x14ac:dyDescent="0.25">
      <c r="CC737" s="15"/>
    </row>
    <row r="738" spans="81:81" x14ac:dyDescent="0.25">
      <c r="CC738" s="15"/>
    </row>
    <row r="739" spans="81:81" x14ac:dyDescent="0.25">
      <c r="CC739" s="15"/>
    </row>
    <row r="740" spans="81:81" x14ac:dyDescent="0.25">
      <c r="CC740" s="15"/>
    </row>
    <row r="741" spans="81:81" x14ac:dyDescent="0.25">
      <c r="CC741" s="15"/>
    </row>
    <row r="742" spans="81:81" x14ac:dyDescent="0.25">
      <c r="CC742" s="15"/>
    </row>
    <row r="743" spans="81:81" x14ac:dyDescent="0.25">
      <c r="CC743" s="15"/>
    </row>
    <row r="744" spans="81:81" x14ac:dyDescent="0.25">
      <c r="CC744" s="15"/>
    </row>
    <row r="745" spans="81:81" x14ac:dyDescent="0.25">
      <c r="CC745" s="15"/>
    </row>
    <row r="746" spans="81:81" x14ac:dyDescent="0.25">
      <c r="CC746" s="15"/>
    </row>
    <row r="747" spans="81:81" x14ac:dyDescent="0.25">
      <c r="CC747" s="15"/>
    </row>
    <row r="748" spans="81:81" x14ac:dyDescent="0.25">
      <c r="CC748" s="15"/>
    </row>
    <row r="749" spans="81:81" x14ac:dyDescent="0.25">
      <c r="CC749" s="15"/>
    </row>
    <row r="750" spans="81:81" x14ac:dyDescent="0.25">
      <c r="CC750" s="15"/>
    </row>
    <row r="751" spans="81:81" x14ac:dyDescent="0.25">
      <c r="CC751" s="15"/>
    </row>
    <row r="752" spans="81:81" x14ac:dyDescent="0.25">
      <c r="CC752" s="15"/>
    </row>
    <row r="753" spans="81:81" x14ac:dyDescent="0.25">
      <c r="CC753" s="15"/>
    </row>
    <row r="754" spans="81:81" x14ac:dyDescent="0.25">
      <c r="CC754" s="15"/>
    </row>
    <row r="755" spans="81:81" x14ac:dyDescent="0.25">
      <c r="CC755" s="15"/>
    </row>
    <row r="756" spans="81:81" x14ac:dyDescent="0.25">
      <c r="CC756" s="15"/>
    </row>
    <row r="757" spans="81:81" x14ac:dyDescent="0.25">
      <c r="CC757" s="15"/>
    </row>
    <row r="758" spans="81:81" x14ac:dyDescent="0.25">
      <c r="CC758" s="15"/>
    </row>
    <row r="759" spans="81:81" x14ac:dyDescent="0.25">
      <c r="CC759" s="15"/>
    </row>
    <row r="760" spans="81:81" x14ac:dyDescent="0.25">
      <c r="CC760" s="15"/>
    </row>
    <row r="761" spans="81:81" x14ac:dyDescent="0.25">
      <c r="CC761" s="15"/>
    </row>
    <row r="762" spans="81:81" x14ac:dyDescent="0.25">
      <c r="CC762" s="15"/>
    </row>
    <row r="763" spans="81:81" x14ac:dyDescent="0.25">
      <c r="CC763" s="15"/>
    </row>
    <row r="764" spans="81:81" x14ac:dyDescent="0.25">
      <c r="CC764" s="15"/>
    </row>
    <row r="765" spans="81:81" x14ac:dyDescent="0.25">
      <c r="CC765" s="15"/>
    </row>
    <row r="766" spans="81:81" x14ac:dyDescent="0.25">
      <c r="CC766" s="15"/>
    </row>
    <row r="767" spans="81:81" x14ac:dyDescent="0.25">
      <c r="CC767" s="15"/>
    </row>
    <row r="768" spans="81:81" x14ac:dyDescent="0.25">
      <c r="CC768" s="15"/>
    </row>
    <row r="769" spans="81:81" x14ac:dyDescent="0.25">
      <c r="CC769" s="15"/>
    </row>
    <row r="770" spans="81:81" x14ac:dyDescent="0.25">
      <c r="CC770" s="15"/>
    </row>
    <row r="771" spans="81:81" x14ac:dyDescent="0.25">
      <c r="CC771" s="15"/>
    </row>
    <row r="772" spans="81:81" x14ac:dyDescent="0.25">
      <c r="CC772" s="15"/>
    </row>
    <row r="773" spans="81:81" x14ac:dyDescent="0.25">
      <c r="CC773" s="15"/>
    </row>
    <row r="774" spans="81:81" x14ac:dyDescent="0.25">
      <c r="CC774" s="15"/>
    </row>
    <row r="775" spans="81:81" x14ac:dyDescent="0.25">
      <c r="CC775" s="15"/>
    </row>
    <row r="776" spans="81:81" x14ac:dyDescent="0.25">
      <c r="CC776" s="15"/>
    </row>
    <row r="777" spans="81:81" x14ac:dyDescent="0.25">
      <c r="CC777" s="15"/>
    </row>
    <row r="778" spans="81:81" x14ac:dyDescent="0.25">
      <c r="CC778" s="15"/>
    </row>
    <row r="779" spans="81:81" x14ac:dyDescent="0.25">
      <c r="CC779" s="15"/>
    </row>
    <row r="780" spans="81:81" x14ac:dyDescent="0.25">
      <c r="CC780" s="15"/>
    </row>
    <row r="781" spans="81:81" x14ac:dyDescent="0.25">
      <c r="CC781" s="15"/>
    </row>
    <row r="782" spans="81:81" x14ac:dyDescent="0.25">
      <c r="CC782" s="15"/>
    </row>
    <row r="783" spans="81:81" x14ac:dyDescent="0.25">
      <c r="CC783" s="15"/>
    </row>
    <row r="784" spans="81:81" x14ac:dyDescent="0.25">
      <c r="CC784" s="15"/>
    </row>
    <row r="785" spans="81:81" x14ac:dyDescent="0.25">
      <c r="CC785" s="15"/>
    </row>
    <row r="786" spans="81:81" x14ac:dyDescent="0.25">
      <c r="CC786" s="15"/>
    </row>
    <row r="787" spans="81:81" x14ac:dyDescent="0.25">
      <c r="CC787" s="15"/>
    </row>
    <row r="788" spans="81:81" x14ac:dyDescent="0.25">
      <c r="CC788" s="15"/>
    </row>
    <row r="789" spans="81:81" x14ac:dyDescent="0.25">
      <c r="CC789" s="15"/>
    </row>
    <row r="790" spans="81:81" x14ac:dyDescent="0.25">
      <c r="CC790" s="15"/>
    </row>
    <row r="791" spans="81:81" x14ac:dyDescent="0.25">
      <c r="CC791" s="15"/>
    </row>
    <row r="792" spans="81:81" x14ac:dyDescent="0.25">
      <c r="CC792" s="15"/>
    </row>
    <row r="793" spans="81:81" x14ac:dyDescent="0.25">
      <c r="CC793" s="15"/>
    </row>
    <row r="794" spans="81:81" x14ac:dyDescent="0.25">
      <c r="CC794" s="15"/>
    </row>
    <row r="795" spans="81:81" x14ac:dyDescent="0.25">
      <c r="CC795" s="15"/>
    </row>
    <row r="796" spans="81:81" x14ac:dyDescent="0.25">
      <c r="CC796" s="15"/>
    </row>
    <row r="797" spans="81:81" x14ac:dyDescent="0.25">
      <c r="CC797" s="15"/>
    </row>
    <row r="798" spans="81:81" x14ac:dyDescent="0.25">
      <c r="CC798" s="15"/>
    </row>
    <row r="799" spans="81:81" x14ac:dyDescent="0.25">
      <c r="CC799" s="15"/>
    </row>
    <row r="800" spans="81:81" x14ac:dyDescent="0.25">
      <c r="CC800" s="15"/>
    </row>
    <row r="801" spans="81:81" x14ac:dyDescent="0.25">
      <c r="CC801" s="15"/>
    </row>
    <row r="802" spans="81:81" x14ac:dyDescent="0.25">
      <c r="CC802" s="15"/>
    </row>
    <row r="803" spans="81:81" x14ac:dyDescent="0.25">
      <c r="CC803" s="15"/>
    </row>
    <row r="804" spans="81:81" x14ac:dyDescent="0.25">
      <c r="CC804" s="15"/>
    </row>
    <row r="805" spans="81:81" x14ac:dyDescent="0.25">
      <c r="CC805" s="15"/>
    </row>
    <row r="806" spans="81:81" x14ac:dyDescent="0.25">
      <c r="CC806" s="15"/>
    </row>
    <row r="807" spans="81:81" x14ac:dyDescent="0.25">
      <c r="CC807" s="15"/>
    </row>
    <row r="808" spans="81:81" x14ac:dyDescent="0.25">
      <c r="CC808" s="15"/>
    </row>
    <row r="809" spans="81:81" x14ac:dyDescent="0.25">
      <c r="CC809" s="15"/>
    </row>
    <row r="810" spans="81:81" x14ac:dyDescent="0.25">
      <c r="CC810" s="15"/>
    </row>
    <row r="811" spans="81:81" x14ac:dyDescent="0.25">
      <c r="CC811" s="15"/>
    </row>
    <row r="812" spans="81:81" x14ac:dyDescent="0.25">
      <c r="CC812" s="15"/>
    </row>
    <row r="813" spans="81:81" x14ac:dyDescent="0.25">
      <c r="CC813" s="15"/>
    </row>
    <row r="814" spans="81:81" x14ac:dyDescent="0.25">
      <c r="CC814" s="15"/>
    </row>
    <row r="815" spans="81:81" x14ac:dyDescent="0.25">
      <c r="CC815" s="15"/>
    </row>
    <row r="816" spans="81:81" x14ac:dyDescent="0.25">
      <c r="CC816" s="15"/>
    </row>
    <row r="817" spans="81:81" x14ac:dyDescent="0.25">
      <c r="CC817" s="15"/>
    </row>
    <row r="818" spans="81:81" x14ac:dyDescent="0.25">
      <c r="CC818" s="15"/>
    </row>
    <row r="819" spans="81:81" x14ac:dyDescent="0.25">
      <c r="CC819" s="15"/>
    </row>
    <row r="820" spans="81:81" x14ac:dyDescent="0.25">
      <c r="CC820" s="15"/>
    </row>
    <row r="821" spans="81:81" x14ac:dyDescent="0.25">
      <c r="CC821" s="15"/>
    </row>
    <row r="822" spans="81:81" x14ac:dyDescent="0.25">
      <c r="CC822" s="15"/>
    </row>
    <row r="823" spans="81:81" x14ac:dyDescent="0.25">
      <c r="CC823" s="15"/>
    </row>
    <row r="824" spans="81:81" x14ac:dyDescent="0.25">
      <c r="CC824" s="15"/>
    </row>
    <row r="825" spans="81:81" x14ac:dyDescent="0.25">
      <c r="CC825" s="15"/>
    </row>
    <row r="826" spans="81:81" x14ac:dyDescent="0.25">
      <c r="CC826" s="15"/>
    </row>
    <row r="827" spans="81:81" x14ac:dyDescent="0.25">
      <c r="CC827" s="15"/>
    </row>
    <row r="828" spans="81:81" x14ac:dyDescent="0.25">
      <c r="CC828" s="15"/>
    </row>
    <row r="829" spans="81:81" x14ac:dyDescent="0.25">
      <c r="CC829" s="15"/>
    </row>
    <row r="830" spans="81:81" x14ac:dyDescent="0.25">
      <c r="CC830" s="15"/>
    </row>
    <row r="831" spans="81:81" x14ac:dyDescent="0.25">
      <c r="CC831" s="15"/>
    </row>
    <row r="832" spans="81:81" x14ac:dyDescent="0.25">
      <c r="CC832" s="15"/>
    </row>
    <row r="833" spans="81:81" x14ac:dyDescent="0.25">
      <c r="CC833" s="15"/>
    </row>
    <row r="834" spans="81:81" x14ac:dyDescent="0.25">
      <c r="CC834" s="15"/>
    </row>
    <row r="835" spans="81:81" x14ac:dyDescent="0.25">
      <c r="CC835" s="15"/>
    </row>
    <row r="836" spans="81:81" x14ac:dyDescent="0.25">
      <c r="CC836" s="15"/>
    </row>
    <row r="837" spans="81:81" x14ac:dyDescent="0.25">
      <c r="CC837" s="15"/>
    </row>
    <row r="838" spans="81:81" x14ac:dyDescent="0.25">
      <c r="CC838" s="15"/>
    </row>
    <row r="839" spans="81:81" x14ac:dyDescent="0.25">
      <c r="CC839" s="15"/>
    </row>
    <row r="840" spans="81:81" x14ac:dyDescent="0.25">
      <c r="CC840" s="15"/>
    </row>
    <row r="841" spans="81:81" x14ac:dyDescent="0.25">
      <c r="CC841" s="15"/>
    </row>
    <row r="842" spans="81:81" x14ac:dyDescent="0.25">
      <c r="CC842" s="15"/>
    </row>
    <row r="843" spans="81:81" x14ac:dyDescent="0.25">
      <c r="CC843" s="15"/>
    </row>
    <row r="844" spans="81:81" x14ac:dyDescent="0.25">
      <c r="CC844" s="15"/>
    </row>
    <row r="845" spans="81:81" x14ac:dyDescent="0.25">
      <c r="CC845" s="15"/>
    </row>
    <row r="846" spans="81:81" x14ac:dyDescent="0.25">
      <c r="CC846" s="15"/>
    </row>
    <row r="847" spans="81:81" x14ac:dyDescent="0.25">
      <c r="CC847" s="15"/>
    </row>
    <row r="848" spans="81:81" x14ac:dyDescent="0.25">
      <c r="CC848" s="15"/>
    </row>
    <row r="849" spans="81:81" x14ac:dyDescent="0.25">
      <c r="CC849" s="15"/>
    </row>
    <row r="850" spans="81:81" x14ac:dyDescent="0.25">
      <c r="CC850" s="15"/>
    </row>
    <row r="851" spans="81:81" x14ac:dyDescent="0.25">
      <c r="CC851" s="15"/>
    </row>
    <row r="852" spans="81:81" x14ac:dyDescent="0.25">
      <c r="CC852" s="15"/>
    </row>
    <row r="853" spans="81:81" x14ac:dyDescent="0.25">
      <c r="CC853" s="15"/>
    </row>
    <row r="854" spans="81:81" x14ac:dyDescent="0.25">
      <c r="CC854" s="15"/>
    </row>
    <row r="855" spans="81:81" x14ac:dyDescent="0.25">
      <c r="CC855" s="15"/>
    </row>
    <row r="856" spans="81:81" x14ac:dyDescent="0.25">
      <c r="CC856" s="15"/>
    </row>
    <row r="857" spans="81:81" x14ac:dyDescent="0.25">
      <c r="CC857" s="15"/>
    </row>
    <row r="858" spans="81:81" x14ac:dyDescent="0.25">
      <c r="CC858" s="15"/>
    </row>
    <row r="859" spans="81:81" x14ac:dyDescent="0.25">
      <c r="CC859" s="15"/>
    </row>
    <row r="860" spans="81:81" x14ac:dyDescent="0.25">
      <c r="CC860" s="15"/>
    </row>
    <row r="861" spans="81:81" x14ac:dyDescent="0.25">
      <c r="CC861" s="15"/>
    </row>
    <row r="862" spans="81:81" x14ac:dyDescent="0.25">
      <c r="CC862" s="15"/>
    </row>
    <row r="863" spans="81:81" x14ac:dyDescent="0.25">
      <c r="CC863" s="15"/>
    </row>
    <row r="864" spans="81:81" x14ac:dyDescent="0.25">
      <c r="CC864" s="15"/>
    </row>
    <row r="865" spans="81:81" x14ac:dyDescent="0.25">
      <c r="CC865" s="15"/>
    </row>
    <row r="866" spans="81:81" x14ac:dyDescent="0.25">
      <c r="CC866" s="15"/>
    </row>
    <row r="867" spans="81:81" x14ac:dyDescent="0.25">
      <c r="CC867" s="15"/>
    </row>
    <row r="868" spans="81:81" x14ac:dyDescent="0.25">
      <c r="CC868" s="15"/>
    </row>
    <row r="869" spans="81:81" x14ac:dyDescent="0.25">
      <c r="CC869" s="15"/>
    </row>
    <row r="870" spans="81:81" x14ac:dyDescent="0.25">
      <c r="CC870" s="15"/>
    </row>
    <row r="871" spans="81:81" x14ac:dyDescent="0.25">
      <c r="CC871" s="15"/>
    </row>
    <row r="872" spans="81:81" x14ac:dyDescent="0.25">
      <c r="CC872" s="15"/>
    </row>
    <row r="873" spans="81:81" x14ac:dyDescent="0.25">
      <c r="CC873" s="15"/>
    </row>
    <row r="874" spans="81:81" x14ac:dyDescent="0.25">
      <c r="CC874" s="15"/>
    </row>
    <row r="875" spans="81:81" x14ac:dyDescent="0.25">
      <c r="CC875" s="15"/>
    </row>
    <row r="876" spans="81:81" x14ac:dyDescent="0.25">
      <c r="CC876" s="15"/>
    </row>
    <row r="877" spans="81:81" x14ac:dyDescent="0.25">
      <c r="CC877" s="15"/>
    </row>
    <row r="878" spans="81:81" x14ac:dyDescent="0.25">
      <c r="CC878" s="15"/>
    </row>
    <row r="879" spans="81:81" x14ac:dyDescent="0.25">
      <c r="CC879" s="15"/>
    </row>
    <row r="880" spans="81:81" x14ac:dyDescent="0.25">
      <c r="CC880" s="15"/>
    </row>
    <row r="881" spans="81:81" x14ac:dyDescent="0.25">
      <c r="CC881" s="15"/>
    </row>
    <row r="882" spans="81:81" x14ac:dyDescent="0.25">
      <c r="CC882" s="15"/>
    </row>
    <row r="883" spans="81:81" x14ac:dyDescent="0.25">
      <c r="CC883" s="15"/>
    </row>
    <row r="884" spans="81:81" x14ac:dyDescent="0.25">
      <c r="CC884" s="15"/>
    </row>
    <row r="885" spans="81:81" x14ac:dyDescent="0.25">
      <c r="CC885" s="15"/>
    </row>
    <row r="886" spans="81:81" x14ac:dyDescent="0.25">
      <c r="CC886" s="15"/>
    </row>
    <row r="887" spans="81:81" x14ac:dyDescent="0.25">
      <c r="CC887" s="15"/>
    </row>
    <row r="888" spans="81:81" x14ac:dyDescent="0.25">
      <c r="CC888" s="15"/>
    </row>
    <row r="889" spans="81:81" x14ac:dyDescent="0.25">
      <c r="CC889" s="15"/>
    </row>
    <row r="890" spans="81:81" x14ac:dyDescent="0.25">
      <c r="CC890" s="15"/>
    </row>
    <row r="891" spans="81:81" x14ac:dyDescent="0.25">
      <c r="CC891" s="15"/>
    </row>
    <row r="892" spans="81:81" x14ac:dyDescent="0.25">
      <c r="CC892" s="15"/>
    </row>
    <row r="893" spans="81:81" x14ac:dyDescent="0.25">
      <c r="CC893" s="15"/>
    </row>
    <row r="894" spans="81:81" x14ac:dyDescent="0.25">
      <c r="CC894" s="15"/>
    </row>
    <row r="895" spans="81:81" x14ac:dyDescent="0.25">
      <c r="CC895" s="15"/>
    </row>
    <row r="896" spans="81:81" x14ac:dyDescent="0.25">
      <c r="CC896" s="15"/>
    </row>
    <row r="897" spans="81:81" x14ac:dyDescent="0.25">
      <c r="CC897" s="15"/>
    </row>
    <row r="898" spans="81:81" x14ac:dyDescent="0.25">
      <c r="CC898" s="15"/>
    </row>
    <row r="899" spans="81:81" x14ac:dyDescent="0.25">
      <c r="CC899" s="15"/>
    </row>
    <row r="900" spans="81:81" x14ac:dyDescent="0.25">
      <c r="CC900" s="15"/>
    </row>
    <row r="901" spans="81:81" x14ac:dyDescent="0.25">
      <c r="CC901" s="15"/>
    </row>
    <row r="902" spans="81:81" x14ac:dyDescent="0.25">
      <c r="CC902" s="15"/>
    </row>
    <row r="903" spans="81:81" x14ac:dyDescent="0.25">
      <c r="CC903" s="15"/>
    </row>
    <row r="904" spans="81:81" x14ac:dyDescent="0.25">
      <c r="CC904" s="15"/>
    </row>
    <row r="905" spans="81:81" x14ac:dyDescent="0.25">
      <c r="CC905" s="15"/>
    </row>
    <row r="906" spans="81:81" x14ac:dyDescent="0.25">
      <c r="CC906" s="15"/>
    </row>
    <row r="907" spans="81:81" x14ac:dyDescent="0.25">
      <c r="CC907" s="15"/>
    </row>
    <row r="908" spans="81:81" x14ac:dyDescent="0.25">
      <c r="CC908" s="15"/>
    </row>
    <row r="909" spans="81:81" x14ac:dyDescent="0.25">
      <c r="CC909" s="15"/>
    </row>
    <row r="910" spans="81:81" x14ac:dyDescent="0.25">
      <c r="CC910" s="15"/>
    </row>
    <row r="911" spans="81:81" x14ac:dyDescent="0.25">
      <c r="CC911" s="15"/>
    </row>
    <row r="912" spans="81:81" x14ac:dyDescent="0.25">
      <c r="CC912" s="15"/>
    </row>
    <row r="913" spans="81:81" x14ac:dyDescent="0.25">
      <c r="CC913" s="15"/>
    </row>
    <row r="914" spans="81:81" x14ac:dyDescent="0.25">
      <c r="CC914" s="15"/>
    </row>
    <row r="915" spans="81:81" x14ac:dyDescent="0.25">
      <c r="CC915" s="15"/>
    </row>
    <row r="916" spans="81:81" x14ac:dyDescent="0.25">
      <c r="CC916" s="15"/>
    </row>
    <row r="917" spans="81:81" x14ac:dyDescent="0.25">
      <c r="CC917" s="15"/>
    </row>
    <row r="918" spans="81:81" x14ac:dyDescent="0.25">
      <c r="CC918" s="15"/>
    </row>
    <row r="919" spans="81:81" x14ac:dyDescent="0.25">
      <c r="CC919" s="15"/>
    </row>
    <row r="920" spans="81:81" x14ac:dyDescent="0.25">
      <c r="CC920" s="15"/>
    </row>
    <row r="921" spans="81:81" x14ac:dyDescent="0.25">
      <c r="CC921" s="15"/>
    </row>
    <row r="922" spans="81:81" x14ac:dyDescent="0.25">
      <c r="CC922" s="15"/>
    </row>
    <row r="923" spans="81:81" x14ac:dyDescent="0.25">
      <c r="CC923" s="15"/>
    </row>
    <row r="924" spans="81:81" x14ac:dyDescent="0.25">
      <c r="CC924" s="15"/>
    </row>
    <row r="925" spans="81:81" x14ac:dyDescent="0.25">
      <c r="CC925" s="15"/>
    </row>
    <row r="926" spans="81:81" x14ac:dyDescent="0.25">
      <c r="CC926" s="15"/>
    </row>
    <row r="927" spans="81:81" x14ac:dyDescent="0.25">
      <c r="CC927" s="15"/>
    </row>
    <row r="928" spans="81:81" x14ac:dyDescent="0.25">
      <c r="CC928" s="15"/>
    </row>
    <row r="929" spans="81:81" x14ac:dyDescent="0.25">
      <c r="CC929" s="15"/>
    </row>
    <row r="930" spans="81:81" x14ac:dyDescent="0.25">
      <c r="CC930" s="15"/>
    </row>
    <row r="931" spans="81:81" x14ac:dyDescent="0.25">
      <c r="CC931" s="15"/>
    </row>
    <row r="932" spans="81:81" x14ac:dyDescent="0.25">
      <c r="CC932" s="15"/>
    </row>
    <row r="933" spans="81:81" x14ac:dyDescent="0.25">
      <c r="CC933" s="15"/>
    </row>
    <row r="934" spans="81:81" x14ac:dyDescent="0.25">
      <c r="CC934" s="15"/>
    </row>
    <row r="935" spans="81:81" x14ac:dyDescent="0.25">
      <c r="CC935" s="15"/>
    </row>
    <row r="936" spans="81:81" x14ac:dyDescent="0.25">
      <c r="CC936" s="15"/>
    </row>
    <row r="937" spans="81:81" x14ac:dyDescent="0.25">
      <c r="CC937" s="15"/>
    </row>
    <row r="938" spans="81:81" x14ac:dyDescent="0.25">
      <c r="CC938" s="15"/>
    </row>
    <row r="939" spans="81:81" x14ac:dyDescent="0.25">
      <c r="CC939" s="15"/>
    </row>
    <row r="940" spans="81:81" x14ac:dyDescent="0.25">
      <c r="CC940" s="15"/>
    </row>
    <row r="941" spans="81:81" x14ac:dyDescent="0.25">
      <c r="CC941" s="15"/>
    </row>
    <row r="942" spans="81:81" x14ac:dyDescent="0.25">
      <c r="CC942" s="15"/>
    </row>
    <row r="943" spans="81:81" x14ac:dyDescent="0.25">
      <c r="CC943" s="15"/>
    </row>
    <row r="944" spans="81:81" x14ac:dyDescent="0.25">
      <c r="CC944" s="15"/>
    </row>
    <row r="945" spans="81:81" x14ac:dyDescent="0.25">
      <c r="CC945" s="15"/>
    </row>
    <row r="946" spans="81:81" x14ac:dyDescent="0.25">
      <c r="CC946" s="15"/>
    </row>
    <row r="947" spans="81:81" x14ac:dyDescent="0.25">
      <c r="CC947" s="15"/>
    </row>
    <row r="948" spans="81:81" x14ac:dyDescent="0.25">
      <c r="CC948" s="15"/>
    </row>
    <row r="949" spans="81:81" x14ac:dyDescent="0.25">
      <c r="CC949" s="15"/>
    </row>
    <row r="950" spans="81:81" x14ac:dyDescent="0.25">
      <c r="CC950" s="15"/>
    </row>
    <row r="951" spans="81:81" x14ac:dyDescent="0.25">
      <c r="CC951" s="15"/>
    </row>
    <row r="952" spans="81:81" x14ac:dyDescent="0.25">
      <c r="CC952" s="15"/>
    </row>
    <row r="953" spans="81:81" x14ac:dyDescent="0.25">
      <c r="CC953" s="15"/>
    </row>
    <row r="954" spans="81:81" x14ac:dyDescent="0.25">
      <c r="CC954" s="15"/>
    </row>
    <row r="955" spans="81:81" x14ac:dyDescent="0.25">
      <c r="CC955" s="15"/>
    </row>
    <row r="956" spans="81:81" x14ac:dyDescent="0.25">
      <c r="CC956" s="15"/>
    </row>
    <row r="957" spans="81:81" x14ac:dyDescent="0.25">
      <c r="CC957" s="15"/>
    </row>
    <row r="958" spans="81:81" x14ac:dyDescent="0.25">
      <c r="CC958" s="15"/>
    </row>
    <row r="959" spans="81:81" x14ac:dyDescent="0.25">
      <c r="CC959" s="15"/>
    </row>
    <row r="960" spans="81:81" x14ac:dyDescent="0.25">
      <c r="CC960" s="15"/>
    </row>
    <row r="961" spans="81:81" x14ac:dyDescent="0.25">
      <c r="CC961" s="15"/>
    </row>
    <row r="962" spans="81:81" x14ac:dyDescent="0.25">
      <c r="CC962" s="15"/>
    </row>
    <row r="963" spans="81:81" x14ac:dyDescent="0.25">
      <c r="CC963" s="15"/>
    </row>
    <row r="964" spans="81:81" x14ac:dyDescent="0.25">
      <c r="CC964" s="15"/>
    </row>
    <row r="965" spans="81:81" x14ac:dyDescent="0.25">
      <c r="CC965" s="15"/>
    </row>
    <row r="966" spans="81:81" x14ac:dyDescent="0.25">
      <c r="CC966" s="15"/>
    </row>
    <row r="967" spans="81:81" x14ac:dyDescent="0.25">
      <c r="CC967" s="15"/>
    </row>
    <row r="968" spans="81:81" x14ac:dyDescent="0.25">
      <c r="CC968" s="15"/>
    </row>
    <row r="969" spans="81:81" x14ac:dyDescent="0.25">
      <c r="CC969" s="15"/>
    </row>
    <row r="970" spans="81:81" x14ac:dyDescent="0.25">
      <c r="CC970" s="15"/>
    </row>
    <row r="971" spans="81:81" x14ac:dyDescent="0.25">
      <c r="CC971" s="15"/>
    </row>
    <row r="972" spans="81:81" x14ac:dyDescent="0.25">
      <c r="CC972" s="15"/>
    </row>
    <row r="973" spans="81:81" x14ac:dyDescent="0.25">
      <c r="CC973" s="15"/>
    </row>
    <row r="974" spans="81:81" x14ac:dyDescent="0.25">
      <c r="CC974" s="15"/>
    </row>
    <row r="975" spans="81:81" x14ac:dyDescent="0.25">
      <c r="CC975" s="15"/>
    </row>
    <row r="976" spans="81:81" x14ac:dyDescent="0.25">
      <c r="CC976" s="15"/>
    </row>
    <row r="977" spans="81:81" x14ac:dyDescent="0.25">
      <c r="CC977" s="15"/>
    </row>
    <row r="978" spans="81:81" x14ac:dyDescent="0.25">
      <c r="CC978" s="15"/>
    </row>
    <row r="979" spans="81:81" x14ac:dyDescent="0.25">
      <c r="CC979" s="15"/>
    </row>
    <row r="980" spans="81:81" x14ac:dyDescent="0.25">
      <c r="CC980" s="15"/>
    </row>
    <row r="981" spans="81:81" x14ac:dyDescent="0.25">
      <c r="CC981" s="15"/>
    </row>
    <row r="982" spans="81:81" x14ac:dyDescent="0.25">
      <c r="CC982" s="15"/>
    </row>
    <row r="983" spans="81:81" x14ac:dyDescent="0.25">
      <c r="CC983" s="15"/>
    </row>
    <row r="984" spans="81:81" x14ac:dyDescent="0.25">
      <c r="CC984" s="15"/>
    </row>
    <row r="985" spans="81:81" x14ac:dyDescent="0.25">
      <c r="CC985" s="15"/>
    </row>
    <row r="986" spans="81:81" x14ac:dyDescent="0.25">
      <c r="CC986" s="15"/>
    </row>
    <row r="987" spans="81:81" x14ac:dyDescent="0.25">
      <c r="CC987" s="15"/>
    </row>
    <row r="988" spans="81:81" x14ac:dyDescent="0.25">
      <c r="CC988" s="15"/>
    </row>
    <row r="989" spans="81:81" x14ac:dyDescent="0.25">
      <c r="CC989" s="15"/>
    </row>
    <row r="990" spans="81:81" x14ac:dyDescent="0.25">
      <c r="CC990" s="15"/>
    </row>
    <row r="991" spans="81:81" x14ac:dyDescent="0.25">
      <c r="CC991" s="15"/>
    </row>
    <row r="992" spans="81:81" x14ac:dyDescent="0.25">
      <c r="CC992" s="15"/>
    </row>
    <row r="993" spans="81:81" x14ac:dyDescent="0.25">
      <c r="CC993" s="15"/>
    </row>
    <row r="994" spans="81:81" x14ac:dyDescent="0.25">
      <c r="CC994" s="15"/>
    </row>
    <row r="995" spans="81:81" x14ac:dyDescent="0.25">
      <c r="CC995" s="15"/>
    </row>
    <row r="996" spans="81:81" x14ac:dyDescent="0.25">
      <c r="CC996" s="15"/>
    </row>
    <row r="997" spans="81:81" x14ac:dyDescent="0.25">
      <c r="CC997" s="15"/>
    </row>
    <row r="998" spans="81:81" x14ac:dyDescent="0.25">
      <c r="CC998" s="15"/>
    </row>
    <row r="999" spans="81:81" x14ac:dyDescent="0.25">
      <c r="CC999" s="15"/>
    </row>
    <row r="1000" spans="81:81" x14ac:dyDescent="0.25">
      <c r="CC1000" s="15"/>
    </row>
    <row r="1001" spans="81:81" x14ac:dyDescent="0.25">
      <c r="CC1001" s="15"/>
    </row>
    <row r="1002" spans="81:81" x14ac:dyDescent="0.25">
      <c r="CC1002" s="15"/>
    </row>
    <row r="1003" spans="81:81" x14ac:dyDescent="0.25">
      <c r="CC1003" s="15"/>
    </row>
    <row r="1004" spans="81:81" x14ac:dyDescent="0.25">
      <c r="CC1004" s="15"/>
    </row>
    <row r="1005" spans="81:81" x14ac:dyDescent="0.25">
      <c r="CC1005" s="15"/>
    </row>
    <row r="1006" spans="81:81" x14ac:dyDescent="0.25">
      <c r="CC1006" s="15"/>
    </row>
    <row r="1007" spans="81:81" x14ac:dyDescent="0.25">
      <c r="CC1007" s="15"/>
    </row>
    <row r="1008" spans="81:81" x14ac:dyDescent="0.25">
      <c r="CC1008" s="15"/>
    </row>
    <row r="1009" spans="81:81" x14ac:dyDescent="0.25">
      <c r="CC1009" s="15"/>
    </row>
    <row r="1010" spans="81:81" x14ac:dyDescent="0.25">
      <c r="CC1010" s="15"/>
    </row>
    <row r="1011" spans="81:81" x14ac:dyDescent="0.25">
      <c r="CC1011" s="15"/>
    </row>
    <row r="1012" spans="81:81" x14ac:dyDescent="0.25">
      <c r="CC1012" s="15"/>
    </row>
    <row r="1013" spans="81:81" x14ac:dyDescent="0.25">
      <c r="CC1013" s="15"/>
    </row>
    <row r="1014" spans="81:81" x14ac:dyDescent="0.25">
      <c r="CC1014" s="15"/>
    </row>
    <row r="1015" spans="81:81" x14ac:dyDescent="0.25">
      <c r="CC1015" s="15"/>
    </row>
    <row r="1016" spans="81:81" x14ac:dyDescent="0.25">
      <c r="CC1016" s="15"/>
    </row>
    <row r="1017" spans="81:81" x14ac:dyDescent="0.25">
      <c r="CC1017" s="15"/>
    </row>
    <row r="1018" spans="81:81" x14ac:dyDescent="0.25">
      <c r="CC1018" s="15"/>
    </row>
    <row r="1019" spans="81:81" x14ac:dyDescent="0.25">
      <c r="CC1019" s="15"/>
    </row>
    <row r="1020" spans="81:81" x14ac:dyDescent="0.25">
      <c r="CC1020" s="15"/>
    </row>
    <row r="1021" spans="81:81" x14ac:dyDescent="0.25">
      <c r="CC1021" s="15"/>
    </row>
    <row r="1022" spans="81:81" x14ac:dyDescent="0.25">
      <c r="CC1022" s="15"/>
    </row>
    <row r="1023" spans="81:81" x14ac:dyDescent="0.25">
      <c r="CC1023" s="15"/>
    </row>
    <row r="1024" spans="81:81" x14ac:dyDescent="0.25">
      <c r="CC1024" s="15"/>
    </row>
    <row r="1025" spans="81:81" x14ac:dyDescent="0.25">
      <c r="CC1025" s="15"/>
    </row>
    <row r="1026" spans="81:81" x14ac:dyDescent="0.25">
      <c r="CC1026" s="15"/>
    </row>
    <row r="1027" spans="81:81" x14ac:dyDescent="0.25">
      <c r="CC1027" s="15"/>
    </row>
    <row r="1028" spans="81:81" x14ac:dyDescent="0.25">
      <c r="CC1028" s="15"/>
    </row>
    <row r="1029" spans="81:81" x14ac:dyDescent="0.25">
      <c r="CC1029" s="15"/>
    </row>
    <row r="1030" spans="81:81" x14ac:dyDescent="0.25">
      <c r="CC1030" s="15"/>
    </row>
    <row r="1031" spans="81:81" x14ac:dyDescent="0.25">
      <c r="CC1031" s="15"/>
    </row>
    <row r="1032" spans="81:81" x14ac:dyDescent="0.25">
      <c r="CC1032" s="15"/>
    </row>
    <row r="1033" spans="81:81" x14ac:dyDescent="0.25">
      <c r="CC1033" s="15"/>
    </row>
    <row r="1034" spans="81:81" x14ac:dyDescent="0.25">
      <c r="CC1034" s="15"/>
    </row>
    <row r="1035" spans="81:81" x14ac:dyDescent="0.25">
      <c r="CC1035" s="15"/>
    </row>
    <row r="1036" spans="81:81" x14ac:dyDescent="0.25">
      <c r="CC1036" s="15"/>
    </row>
    <row r="1037" spans="81:81" x14ac:dyDescent="0.25">
      <c r="CC1037" s="15"/>
    </row>
    <row r="1038" spans="81:81" x14ac:dyDescent="0.25">
      <c r="CC1038" s="15"/>
    </row>
    <row r="1039" spans="81:81" x14ac:dyDescent="0.25">
      <c r="CC1039" s="15"/>
    </row>
    <row r="1040" spans="81:81" x14ac:dyDescent="0.25">
      <c r="CC1040" s="15"/>
    </row>
    <row r="1041" spans="81:81" x14ac:dyDescent="0.25">
      <c r="CC1041" s="15"/>
    </row>
    <row r="1042" spans="81:81" x14ac:dyDescent="0.25">
      <c r="CC1042" s="15"/>
    </row>
    <row r="1043" spans="81:81" x14ac:dyDescent="0.25">
      <c r="CC1043" s="15"/>
    </row>
    <row r="1044" spans="81:81" x14ac:dyDescent="0.25">
      <c r="CC1044" s="15"/>
    </row>
    <row r="1045" spans="81:81" x14ac:dyDescent="0.25">
      <c r="CC1045" s="15"/>
    </row>
    <row r="1046" spans="81:81" x14ac:dyDescent="0.25">
      <c r="CC1046" s="15"/>
    </row>
    <row r="1047" spans="81:81" x14ac:dyDescent="0.25">
      <c r="CC1047" s="15"/>
    </row>
    <row r="1048" spans="81:81" x14ac:dyDescent="0.25">
      <c r="CC1048" s="15"/>
    </row>
    <row r="1049" spans="81:81" x14ac:dyDescent="0.25">
      <c r="CC1049" s="15"/>
    </row>
    <row r="1050" spans="81:81" x14ac:dyDescent="0.25">
      <c r="CC1050" s="15"/>
    </row>
    <row r="1051" spans="81:81" x14ac:dyDescent="0.25">
      <c r="CC1051" s="15"/>
    </row>
    <row r="1052" spans="81:81" x14ac:dyDescent="0.25">
      <c r="CC1052" s="15"/>
    </row>
    <row r="1053" spans="81:81" x14ac:dyDescent="0.25">
      <c r="CC1053" s="15"/>
    </row>
    <row r="1054" spans="81:81" x14ac:dyDescent="0.25">
      <c r="CC1054" s="15"/>
    </row>
    <row r="1055" spans="81:81" x14ac:dyDescent="0.25">
      <c r="CC1055" s="15"/>
    </row>
    <row r="1056" spans="81:81" x14ac:dyDescent="0.25">
      <c r="CC1056" s="15"/>
    </row>
    <row r="1057" spans="81:81" x14ac:dyDescent="0.25">
      <c r="CC1057" s="15"/>
    </row>
    <row r="1058" spans="81:81" x14ac:dyDescent="0.25">
      <c r="CC1058" s="15"/>
    </row>
    <row r="1059" spans="81:81" x14ac:dyDescent="0.25">
      <c r="CC1059" s="15"/>
    </row>
    <row r="1060" spans="81:81" x14ac:dyDescent="0.25">
      <c r="CC1060" s="15"/>
    </row>
    <row r="1061" spans="81:81" x14ac:dyDescent="0.25">
      <c r="CC1061" s="15"/>
    </row>
    <row r="1062" spans="81:81" x14ac:dyDescent="0.25">
      <c r="CC1062" s="15"/>
    </row>
    <row r="1063" spans="81:81" x14ac:dyDescent="0.25">
      <c r="CC1063" s="15"/>
    </row>
    <row r="1064" spans="81:81" x14ac:dyDescent="0.25">
      <c r="CC1064" s="15"/>
    </row>
    <row r="1065" spans="81:81" x14ac:dyDescent="0.25">
      <c r="CC1065" s="15"/>
    </row>
    <row r="1066" spans="81:81" x14ac:dyDescent="0.25">
      <c r="CC1066" s="15"/>
    </row>
    <row r="1067" spans="81:81" x14ac:dyDescent="0.25">
      <c r="CC1067" s="15"/>
    </row>
    <row r="1068" spans="81:81" x14ac:dyDescent="0.25">
      <c r="CC1068" s="15"/>
    </row>
    <row r="1069" spans="81:81" x14ac:dyDescent="0.25">
      <c r="CC1069" s="15"/>
    </row>
    <row r="1070" spans="81:81" x14ac:dyDescent="0.25">
      <c r="CC1070" s="15"/>
    </row>
    <row r="1071" spans="81:81" x14ac:dyDescent="0.25">
      <c r="CC1071" s="15"/>
    </row>
    <row r="1072" spans="81:81" x14ac:dyDescent="0.25">
      <c r="CC1072" s="15"/>
    </row>
    <row r="1073" spans="81:81" x14ac:dyDescent="0.25">
      <c r="CC1073" s="15"/>
    </row>
    <row r="1074" spans="81:81" x14ac:dyDescent="0.25">
      <c r="CC1074" s="15"/>
    </row>
    <row r="1075" spans="81:81" x14ac:dyDescent="0.25">
      <c r="CC1075" s="15"/>
    </row>
    <row r="1076" spans="81:81" x14ac:dyDescent="0.25">
      <c r="CC1076" s="15"/>
    </row>
    <row r="1077" spans="81:81" x14ac:dyDescent="0.25">
      <c r="CC1077" s="15"/>
    </row>
    <row r="1078" spans="81:81" x14ac:dyDescent="0.25">
      <c r="CC1078" s="15"/>
    </row>
    <row r="1079" spans="81:81" x14ac:dyDescent="0.25">
      <c r="CC1079" s="15"/>
    </row>
    <row r="1080" spans="81:81" x14ac:dyDescent="0.25">
      <c r="CC1080" s="15"/>
    </row>
    <row r="1081" spans="81:81" x14ac:dyDescent="0.25">
      <c r="CC1081" s="15"/>
    </row>
    <row r="1082" spans="81:81" x14ac:dyDescent="0.25">
      <c r="CC1082" s="15"/>
    </row>
    <row r="1083" spans="81:81" x14ac:dyDescent="0.25">
      <c r="CC1083" s="15"/>
    </row>
    <row r="1084" spans="81:81" x14ac:dyDescent="0.25">
      <c r="CC1084" s="15"/>
    </row>
    <row r="1085" spans="81:81" x14ac:dyDescent="0.25">
      <c r="CC1085" s="15"/>
    </row>
    <row r="1086" spans="81:81" x14ac:dyDescent="0.25">
      <c r="CC1086" s="15"/>
    </row>
    <row r="1087" spans="81:81" x14ac:dyDescent="0.25">
      <c r="CC1087" s="15"/>
    </row>
    <row r="1088" spans="81:81" x14ac:dyDescent="0.25">
      <c r="CC1088" s="15"/>
    </row>
    <row r="1089" spans="81:81" x14ac:dyDescent="0.25">
      <c r="CC1089" s="15"/>
    </row>
    <row r="1090" spans="81:81" x14ac:dyDescent="0.25">
      <c r="CC1090" s="15"/>
    </row>
    <row r="1091" spans="81:81" x14ac:dyDescent="0.25">
      <c r="CC1091" s="15"/>
    </row>
    <row r="1092" spans="81:81" x14ac:dyDescent="0.25">
      <c r="CC1092" s="15"/>
    </row>
    <row r="1093" spans="81:81" x14ac:dyDescent="0.25">
      <c r="CC1093" s="15"/>
    </row>
    <row r="1094" spans="81:81" x14ac:dyDescent="0.25">
      <c r="CC1094" s="15"/>
    </row>
    <row r="1095" spans="81:81" x14ac:dyDescent="0.25">
      <c r="CC1095" s="15"/>
    </row>
    <row r="1096" spans="81:81" x14ac:dyDescent="0.25">
      <c r="CC1096" s="15"/>
    </row>
    <row r="1097" spans="81:81" x14ac:dyDescent="0.25">
      <c r="CC1097" s="15"/>
    </row>
    <row r="1098" spans="81:81" x14ac:dyDescent="0.25">
      <c r="CC1098" s="15"/>
    </row>
    <row r="1099" spans="81:81" x14ac:dyDescent="0.25">
      <c r="CC1099" s="15"/>
    </row>
    <row r="1100" spans="81:81" x14ac:dyDescent="0.25">
      <c r="CC1100" s="15"/>
    </row>
    <row r="1101" spans="81:81" x14ac:dyDescent="0.25">
      <c r="CC1101" s="15"/>
    </row>
    <row r="1102" spans="81:81" x14ac:dyDescent="0.25">
      <c r="CC1102" s="15"/>
    </row>
    <row r="1103" spans="81:81" x14ac:dyDescent="0.25">
      <c r="CC1103" s="15"/>
    </row>
    <row r="1104" spans="81:81" x14ac:dyDescent="0.25">
      <c r="CC1104" s="15"/>
    </row>
    <row r="1105" spans="81:81" x14ac:dyDescent="0.25">
      <c r="CC1105" s="15"/>
    </row>
    <row r="1106" spans="81:81" x14ac:dyDescent="0.25">
      <c r="CC1106" s="15"/>
    </row>
    <row r="1107" spans="81:81" x14ac:dyDescent="0.25">
      <c r="CC1107" s="15"/>
    </row>
    <row r="1108" spans="81:81" x14ac:dyDescent="0.25">
      <c r="CC1108" s="15"/>
    </row>
    <row r="1109" spans="81:81" x14ac:dyDescent="0.25">
      <c r="CC1109" s="15"/>
    </row>
    <row r="1110" spans="81:81" x14ac:dyDescent="0.25">
      <c r="CC1110" s="15"/>
    </row>
    <row r="1111" spans="81:81" x14ac:dyDescent="0.25">
      <c r="CC1111" s="15"/>
    </row>
    <row r="1112" spans="81:81" x14ac:dyDescent="0.25">
      <c r="CC1112" s="15"/>
    </row>
    <row r="1113" spans="81:81" x14ac:dyDescent="0.25">
      <c r="CC1113" s="15"/>
    </row>
    <row r="1114" spans="81:81" x14ac:dyDescent="0.25">
      <c r="CC1114" s="15"/>
    </row>
    <row r="1115" spans="81:81" x14ac:dyDescent="0.25">
      <c r="CC1115" s="15"/>
    </row>
    <row r="1116" spans="81:81" x14ac:dyDescent="0.25">
      <c r="CC1116" s="15"/>
    </row>
    <row r="1117" spans="81:81" x14ac:dyDescent="0.25">
      <c r="CC1117" s="15"/>
    </row>
    <row r="1118" spans="81:81" x14ac:dyDescent="0.25">
      <c r="CC1118" s="15"/>
    </row>
    <row r="1119" spans="81:81" x14ac:dyDescent="0.25">
      <c r="CC1119" s="15"/>
    </row>
    <row r="1120" spans="81:81" x14ac:dyDescent="0.25">
      <c r="CC1120" s="15"/>
    </row>
    <row r="1121" spans="81:81" x14ac:dyDescent="0.25">
      <c r="CC1121" s="15"/>
    </row>
    <row r="1122" spans="81:81" x14ac:dyDescent="0.25">
      <c r="CC1122" s="15"/>
    </row>
    <row r="1123" spans="81:81" x14ac:dyDescent="0.25">
      <c r="CC1123" s="15"/>
    </row>
    <row r="1124" spans="81:81" x14ac:dyDescent="0.25">
      <c r="CC1124" s="15"/>
    </row>
    <row r="1125" spans="81:81" x14ac:dyDescent="0.25">
      <c r="CC1125" s="15"/>
    </row>
    <row r="1126" spans="81:81" x14ac:dyDescent="0.25">
      <c r="CC1126" s="15"/>
    </row>
    <row r="1127" spans="81:81" x14ac:dyDescent="0.25">
      <c r="CC1127" s="15"/>
    </row>
    <row r="1128" spans="81:81" x14ac:dyDescent="0.25">
      <c r="CC1128" s="15"/>
    </row>
    <row r="1129" spans="81:81" x14ac:dyDescent="0.25">
      <c r="CC1129" s="15"/>
    </row>
    <row r="1130" spans="81:81" x14ac:dyDescent="0.25">
      <c r="CC1130" s="15"/>
    </row>
    <row r="1131" spans="81:81" x14ac:dyDescent="0.25">
      <c r="CC1131" s="15"/>
    </row>
    <row r="1132" spans="81:81" x14ac:dyDescent="0.25">
      <c r="CC1132" s="15"/>
    </row>
    <row r="1133" spans="81:81" x14ac:dyDescent="0.25">
      <c r="CC1133" s="15"/>
    </row>
    <row r="1134" spans="81:81" x14ac:dyDescent="0.25">
      <c r="CC1134" s="15"/>
    </row>
    <row r="1135" spans="81:81" x14ac:dyDescent="0.25">
      <c r="CC1135" s="15"/>
    </row>
    <row r="1136" spans="81:81" x14ac:dyDescent="0.25">
      <c r="CC1136" s="15"/>
    </row>
    <row r="1137" spans="81:81" x14ac:dyDescent="0.25">
      <c r="CC1137" s="15"/>
    </row>
    <row r="1138" spans="81:81" x14ac:dyDescent="0.25">
      <c r="CC1138" s="15"/>
    </row>
    <row r="1139" spans="81:81" x14ac:dyDescent="0.25">
      <c r="CC1139" s="15"/>
    </row>
    <row r="1140" spans="81:81" x14ac:dyDescent="0.25">
      <c r="CC1140" s="15"/>
    </row>
    <row r="1141" spans="81:81" x14ac:dyDescent="0.25">
      <c r="CC1141" s="15"/>
    </row>
    <row r="1142" spans="81:81" x14ac:dyDescent="0.25">
      <c r="CC1142" s="15"/>
    </row>
    <row r="1143" spans="81:81" x14ac:dyDescent="0.25">
      <c r="CC1143" s="15"/>
    </row>
    <row r="1144" spans="81:81" x14ac:dyDescent="0.25">
      <c r="CC1144" s="15"/>
    </row>
    <row r="1145" spans="81:81" x14ac:dyDescent="0.25">
      <c r="CC1145" s="15"/>
    </row>
    <row r="1146" spans="81:81" x14ac:dyDescent="0.25">
      <c r="CC1146" s="15"/>
    </row>
    <row r="1147" spans="81:81" x14ac:dyDescent="0.25">
      <c r="CC1147" s="15"/>
    </row>
    <row r="1148" spans="81:81" x14ac:dyDescent="0.25">
      <c r="CC1148" s="15"/>
    </row>
    <row r="1149" spans="81:81" x14ac:dyDescent="0.25">
      <c r="CC1149" s="15"/>
    </row>
    <row r="1150" spans="81:81" x14ac:dyDescent="0.25">
      <c r="CC1150" s="15"/>
    </row>
    <row r="1151" spans="81:81" x14ac:dyDescent="0.25">
      <c r="CC1151" s="15"/>
    </row>
    <row r="1152" spans="81:81" x14ac:dyDescent="0.25">
      <c r="CC1152" s="15"/>
    </row>
    <row r="1153" spans="81:81" x14ac:dyDescent="0.25">
      <c r="CC1153" s="15"/>
    </row>
    <row r="1154" spans="81:81" x14ac:dyDescent="0.25">
      <c r="CC1154" s="15"/>
    </row>
    <row r="1155" spans="81:81" x14ac:dyDescent="0.25">
      <c r="CC1155" s="15"/>
    </row>
    <row r="1156" spans="81:81" x14ac:dyDescent="0.25">
      <c r="CC1156" s="15"/>
    </row>
    <row r="1157" spans="81:81" x14ac:dyDescent="0.25">
      <c r="CC1157" s="15"/>
    </row>
    <row r="1158" spans="81:81" x14ac:dyDescent="0.25">
      <c r="CC1158" s="15"/>
    </row>
    <row r="1159" spans="81:81" x14ac:dyDescent="0.25">
      <c r="CC1159" s="15"/>
    </row>
    <row r="1160" spans="81:81" x14ac:dyDescent="0.25">
      <c r="CC1160" s="15"/>
    </row>
    <row r="1161" spans="81:81" x14ac:dyDescent="0.25">
      <c r="CC1161" s="15"/>
    </row>
    <row r="1162" spans="81:81" x14ac:dyDescent="0.25">
      <c r="CC1162" s="15"/>
    </row>
    <row r="1163" spans="81:81" x14ac:dyDescent="0.25">
      <c r="CC1163" s="15"/>
    </row>
    <row r="1164" spans="81:81" x14ac:dyDescent="0.25">
      <c r="CC1164" s="15"/>
    </row>
    <row r="1165" spans="81:81" x14ac:dyDescent="0.25">
      <c r="CC1165" s="15"/>
    </row>
    <row r="1166" spans="81:81" x14ac:dyDescent="0.25">
      <c r="CC1166" s="15"/>
    </row>
    <row r="1167" spans="81:81" x14ac:dyDescent="0.25">
      <c r="CC1167" s="15"/>
    </row>
    <row r="1168" spans="81:81" x14ac:dyDescent="0.25">
      <c r="CC1168" s="15"/>
    </row>
    <row r="1169" spans="81:81" x14ac:dyDescent="0.25">
      <c r="CC1169" s="15"/>
    </row>
    <row r="1170" spans="81:81" x14ac:dyDescent="0.25">
      <c r="CC1170" s="15"/>
    </row>
    <row r="1171" spans="81:81" x14ac:dyDescent="0.25">
      <c r="CC1171" s="15"/>
    </row>
    <row r="1172" spans="81:81" x14ac:dyDescent="0.25">
      <c r="CC1172" s="15"/>
    </row>
    <row r="1173" spans="81:81" x14ac:dyDescent="0.25">
      <c r="CC1173" s="15"/>
    </row>
    <row r="1174" spans="81:81" x14ac:dyDescent="0.25">
      <c r="CC1174" s="15"/>
    </row>
    <row r="1175" spans="81:81" x14ac:dyDescent="0.25">
      <c r="CC1175" s="15"/>
    </row>
    <row r="1176" spans="81:81" x14ac:dyDescent="0.25">
      <c r="CC1176" s="15"/>
    </row>
    <row r="1177" spans="81:81" x14ac:dyDescent="0.25">
      <c r="CC1177" s="15"/>
    </row>
    <row r="1178" spans="81:81" x14ac:dyDescent="0.25">
      <c r="CC1178" s="15"/>
    </row>
    <row r="1179" spans="81:81" x14ac:dyDescent="0.25">
      <c r="CC1179" s="15"/>
    </row>
    <row r="1180" spans="81:81" x14ac:dyDescent="0.25">
      <c r="CC1180" s="15"/>
    </row>
    <row r="1181" spans="81:81" x14ac:dyDescent="0.25">
      <c r="CC1181" s="15"/>
    </row>
    <row r="1182" spans="81:81" x14ac:dyDescent="0.25">
      <c r="CC1182" s="15"/>
    </row>
    <row r="1183" spans="81:81" x14ac:dyDescent="0.25">
      <c r="CC1183" s="15"/>
    </row>
    <row r="1184" spans="81:81" x14ac:dyDescent="0.25">
      <c r="CC1184" s="15"/>
    </row>
    <row r="1185" spans="81:81" x14ac:dyDescent="0.25">
      <c r="CC1185" s="15"/>
    </row>
    <row r="1186" spans="81:81" x14ac:dyDescent="0.25">
      <c r="CC1186" s="15"/>
    </row>
    <row r="1187" spans="81:81" x14ac:dyDescent="0.25">
      <c r="CC1187" s="15"/>
    </row>
    <row r="1188" spans="81:81" x14ac:dyDescent="0.25">
      <c r="CC1188" s="15"/>
    </row>
    <row r="1189" spans="81:81" x14ac:dyDescent="0.25">
      <c r="CC1189" s="15"/>
    </row>
    <row r="1190" spans="81:81" x14ac:dyDescent="0.25">
      <c r="CC1190" s="15"/>
    </row>
    <row r="1191" spans="81:81" x14ac:dyDescent="0.25">
      <c r="CC1191" s="15"/>
    </row>
    <row r="1192" spans="81:81" x14ac:dyDescent="0.25">
      <c r="CC1192" s="15"/>
    </row>
    <row r="1193" spans="81:81" x14ac:dyDescent="0.25">
      <c r="CC1193" s="15"/>
    </row>
    <row r="1194" spans="81:81" x14ac:dyDescent="0.25">
      <c r="CC1194" s="15"/>
    </row>
    <row r="1195" spans="81:81" x14ac:dyDescent="0.25">
      <c r="CC1195" s="15"/>
    </row>
    <row r="1196" spans="81:81" x14ac:dyDescent="0.25">
      <c r="CC1196" s="15"/>
    </row>
    <row r="1197" spans="81:81" x14ac:dyDescent="0.25">
      <c r="CC1197" s="15"/>
    </row>
    <row r="1198" spans="81:81" x14ac:dyDescent="0.25">
      <c r="CC1198" s="15"/>
    </row>
    <row r="1199" spans="81:81" x14ac:dyDescent="0.25">
      <c r="CC1199" s="15"/>
    </row>
    <row r="1200" spans="81:81" x14ac:dyDescent="0.25">
      <c r="CC1200" s="15"/>
    </row>
    <row r="1201" spans="81:81" x14ac:dyDescent="0.25">
      <c r="CC1201" s="15"/>
    </row>
    <row r="1202" spans="81:81" x14ac:dyDescent="0.25">
      <c r="CC1202" s="15"/>
    </row>
    <row r="1203" spans="81:81" x14ac:dyDescent="0.25">
      <c r="CC1203" s="15"/>
    </row>
    <row r="1204" spans="81:81" x14ac:dyDescent="0.25">
      <c r="CC1204" s="15"/>
    </row>
    <row r="1205" spans="81:81" x14ac:dyDescent="0.25">
      <c r="CC1205" s="15"/>
    </row>
    <row r="1206" spans="81:81" x14ac:dyDescent="0.25">
      <c r="CC1206" s="15"/>
    </row>
    <row r="1207" spans="81:81" x14ac:dyDescent="0.25">
      <c r="CC1207" s="15"/>
    </row>
    <row r="1208" spans="81:81" x14ac:dyDescent="0.25">
      <c r="CC1208" s="15"/>
    </row>
    <row r="1209" spans="81:81" x14ac:dyDescent="0.25">
      <c r="CC1209" s="15"/>
    </row>
    <row r="1210" spans="81:81" x14ac:dyDescent="0.25">
      <c r="CC1210" s="15"/>
    </row>
    <row r="1211" spans="81:81" x14ac:dyDescent="0.25">
      <c r="CC1211" s="15"/>
    </row>
    <row r="1212" spans="81:81" x14ac:dyDescent="0.25">
      <c r="CC1212" s="15"/>
    </row>
    <row r="1213" spans="81:81" x14ac:dyDescent="0.25">
      <c r="CC1213" s="15"/>
    </row>
    <row r="1214" spans="81:81" x14ac:dyDescent="0.25">
      <c r="CC1214" s="15"/>
    </row>
    <row r="1215" spans="81:81" x14ac:dyDescent="0.25">
      <c r="CC1215" s="15"/>
    </row>
    <row r="1216" spans="81:81" x14ac:dyDescent="0.25">
      <c r="CC1216" s="15"/>
    </row>
    <row r="1217" spans="81:81" x14ac:dyDescent="0.25">
      <c r="CC1217" s="15"/>
    </row>
    <row r="1218" spans="81:81" x14ac:dyDescent="0.25">
      <c r="CC1218" s="15"/>
    </row>
    <row r="1219" spans="81:81" x14ac:dyDescent="0.25">
      <c r="CC1219" s="15"/>
    </row>
    <row r="1220" spans="81:81" x14ac:dyDescent="0.25">
      <c r="CC1220" s="15"/>
    </row>
    <row r="1221" spans="81:81" x14ac:dyDescent="0.25">
      <c r="CC1221" s="15"/>
    </row>
    <row r="1222" spans="81:81" x14ac:dyDescent="0.25">
      <c r="CC1222" s="15"/>
    </row>
    <row r="1223" spans="81:81" x14ac:dyDescent="0.25">
      <c r="CC1223" s="15"/>
    </row>
    <row r="1224" spans="81:81" x14ac:dyDescent="0.25">
      <c r="CC1224" s="15"/>
    </row>
    <row r="1225" spans="81:81" x14ac:dyDescent="0.25">
      <c r="CC1225" s="15"/>
    </row>
    <row r="1226" spans="81:81" x14ac:dyDescent="0.25">
      <c r="CC1226" s="15"/>
    </row>
    <row r="1227" spans="81:81" x14ac:dyDescent="0.25">
      <c r="CC1227" s="15"/>
    </row>
    <row r="1228" spans="81:81" x14ac:dyDescent="0.25">
      <c r="CC1228" s="15"/>
    </row>
    <row r="1229" spans="81:81" x14ac:dyDescent="0.25">
      <c r="CC1229" s="15"/>
    </row>
    <row r="1230" spans="81:81" x14ac:dyDescent="0.25">
      <c r="CC1230" s="15"/>
    </row>
    <row r="1231" spans="81:81" x14ac:dyDescent="0.25">
      <c r="CC1231" s="15"/>
    </row>
    <row r="1232" spans="81:81" x14ac:dyDescent="0.25">
      <c r="CC1232" s="15"/>
    </row>
    <row r="1233" spans="81:81" x14ac:dyDescent="0.25">
      <c r="CC1233" s="15"/>
    </row>
    <row r="1234" spans="81:81" x14ac:dyDescent="0.25">
      <c r="CC1234" s="15"/>
    </row>
    <row r="1235" spans="81:81" x14ac:dyDescent="0.25">
      <c r="CC1235" s="15"/>
    </row>
    <row r="1236" spans="81:81" x14ac:dyDescent="0.25">
      <c r="CC1236" s="15"/>
    </row>
    <row r="1237" spans="81:81" x14ac:dyDescent="0.25">
      <c r="CC1237" s="15"/>
    </row>
    <row r="1238" spans="81:81" x14ac:dyDescent="0.25">
      <c r="CC1238" s="15"/>
    </row>
    <row r="1239" spans="81:81" x14ac:dyDescent="0.25">
      <c r="CC1239" s="15"/>
    </row>
    <row r="1240" spans="81:81" x14ac:dyDescent="0.25">
      <c r="CC1240" s="15"/>
    </row>
    <row r="1241" spans="81:81" x14ac:dyDescent="0.25">
      <c r="CC1241" s="15"/>
    </row>
    <row r="1242" spans="81:81" x14ac:dyDescent="0.25">
      <c r="CC1242" s="15"/>
    </row>
    <row r="1243" spans="81:81" x14ac:dyDescent="0.25">
      <c r="CC1243" s="15"/>
    </row>
    <row r="1244" spans="81:81" x14ac:dyDescent="0.25">
      <c r="CC1244" s="15"/>
    </row>
    <row r="1245" spans="81:81" x14ac:dyDescent="0.25">
      <c r="CC1245" s="15"/>
    </row>
    <row r="1246" spans="81:81" x14ac:dyDescent="0.25">
      <c r="CC1246" s="15"/>
    </row>
    <row r="1247" spans="81:81" x14ac:dyDescent="0.25">
      <c r="CC1247" s="15"/>
    </row>
    <row r="1248" spans="81:81" x14ac:dyDescent="0.25">
      <c r="CC1248" s="15"/>
    </row>
    <row r="1249" spans="81:81" x14ac:dyDescent="0.25">
      <c r="CC1249" s="15"/>
    </row>
    <row r="1250" spans="81:81" x14ac:dyDescent="0.25">
      <c r="CC1250" s="15"/>
    </row>
    <row r="1251" spans="81:81" x14ac:dyDescent="0.25">
      <c r="CC1251" s="15"/>
    </row>
    <row r="1252" spans="81:81" x14ac:dyDescent="0.25">
      <c r="CC1252" s="15"/>
    </row>
    <row r="1253" spans="81:81" x14ac:dyDescent="0.25">
      <c r="CC1253" s="15"/>
    </row>
    <row r="1254" spans="81:81" x14ac:dyDescent="0.25">
      <c r="CC1254" s="15"/>
    </row>
    <row r="1255" spans="81:81" x14ac:dyDescent="0.25">
      <c r="CC1255" s="15"/>
    </row>
    <row r="1256" spans="81:81" x14ac:dyDescent="0.25">
      <c r="CC1256" s="15"/>
    </row>
    <row r="1257" spans="81:81" x14ac:dyDescent="0.25">
      <c r="CC1257" s="15"/>
    </row>
    <row r="1258" spans="81:81" x14ac:dyDescent="0.25">
      <c r="CC1258" s="15"/>
    </row>
    <row r="1259" spans="81:81" x14ac:dyDescent="0.25">
      <c r="CC1259" s="15"/>
    </row>
    <row r="1260" spans="81:81" x14ac:dyDescent="0.25">
      <c r="CC1260" s="15"/>
    </row>
    <row r="1261" spans="81:81" x14ac:dyDescent="0.25">
      <c r="CC1261" s="15"/>
    </row>
    <row r="1262" spans="81:81" x14ac:dyDescent="0.25">
      <c r="CC1262" s="15"/>
    </row>
    <row r="1263" spans="81:81" x14ac:dyDescent="0.25">
      <c r="CC1263" s="15"/>
    </row>
    <row r="1264" spans="81:81" x14ac:dyDescent="0.25">
      <c r="CC1264" s="15"/>
    </row>
    <row r="1265" spans="81:81" x14ac:dyDescent="0.25">
      <c r="CC1265" s="15"/>
    </row>
    <row r="1266" spans="81:81" x14ac:dyDescent="0.25">
      <c r="CC1266" s="15"/>
    </row>
    <row r="1267" spans="81:81" x14ac:dyDescent="0.25">
      <c r="CC1267" s="15"/>
    </row>
    <row r="1268" spans="81:81" x14ac:dyDescent="0.25">
      <c r="CC1268" s="15"/>
    </row>
    <row r="1269" spans="81:81" x14ac:dyDescent="0.25">
      <c r="CC1269" s="15"/>
    </row>
    <row r="1270" spans="81:81" x14ac:dyDescent="0.25">
      <c r="CC1270" s="15"/>
    </row>
    <row r="1271" spans="81:81" x14ac:dyDescent="0.25">
      <c r="CC1271" s="15"/>
    </row>
    <row r="1272" spans="81:81" x14ac:dyDescent="0.25">
      <c r="CC1272" s="15"/>
    </row>
    <row r="1273" spans="81:81" x14ac:dyDescent="0.25">
      <c r="CC1273" s="15"/>
    </row>
    <row r="1274" spans="81:81" x14ac:dyDescent="0.25">
      <c r="CC1274" s="15"/>
    </row>
    <row r="1275" spans="81:81" x14ac:dyDescent="0.25">
      <c r="CC1275" s="15"/>
    </row>
    <row r="1276" spans="81:81" x14ac:dyDescent="0.25">
      <c r="CC1276" s="15"/>
    </row>
    <row r="1277" spans="81:81" x14ac:dyDescent="0.25">
      <c r="CC1277" s="15"/>
    </row>
    <row r="1278" spans="81:81" x14ac:dyDescent="0.25">
      <c r="CC1278" s="15"/>
    </row>
    <row r="1279" spans="81:81" x14ac:dyDescent="0.25">
      <c r="CC1279" s="15"/>
    </row>
    <row r="1280" spans="81:81" x14ac:dyDescent="0.25">
      <c r="CC1280" s="15"/>
    </row>
    <row r="1281" spans="81:81" x14ac:dyDescent="0.25">
      <c r="CC1281" s="15"/>
    </row>
    <row r="1282" spans="81:81" x14ac:dyDescent="0.25">
      <c r="CC1282" s="15"/>
    </row>
    <row r="1283" spans="81:81" x14ac:dyDescent="0.25">
      <c r="CC1283" s="15"/>
    </row>
    <row r="1284" spans="81:81" x14ac:dyDescent="0.25">
      <c r="CC1284" s="15"/>
    </row>
    <row r="1285" spans="81:81" x14ac:dyDescent="0.25">
      <c r="CC1285" s="15"/>
    </row>
    <row r="1286" spans="81:81" x14ac:dyDescent="0.25">
      <c r="CC1286" s="15"/>
    </row>
    <row r="1287" spans="81:81" x14ac:dyDescent="0.25">
      <c r="CC1287" s="15"/>
    </row>
    <row r="1288" spans="81:81" x14ac:dyDescent="0.25">
      <c r="CC1288" s="15"/>
    </row>
    <row r="1289" spans="81:81" x14ac:dyDescent="0.25">
      <c r="CC1289" s="15"/>
    </row>
    <row r="1290" spans="81:81" x14ac:dyDescent="0.25">
      <c r="CC1290" s="15"/>
    </row>
    <row r="1291" spans="81:81" x14ac:dyDescent="0.25">
      <c r="CC1291" s="15"/>
    </row>
    <row r="1292" spans="81:81" x14ac:dyDescent="0.25">
      <c r="CC1292" s="15"/>
    </row>
    <row r="1293" spans="81:81" x14ac:dyDescent="0.25">
      <c r="CC1293" s="15"/>
    </row>
    <row r="1294" spans="81:81" x14ac:dyDescent="0.25">
      <c r="CC1294" s="15"/>
    </row>
    <row r="1295" spans="81:81" x14ac:dyDescent="0.25">
      <c r="CC1295" s="15"/>
    </row>
    <row r="1296" spans="81:81" x14ac:dyDescent="0.25">
      <c r="CC1296" s="15"/>
    </row>
    <row r="1297" spans="81:81" x14ac:dyDescent="0.25">
      <c r="CC1297" s="15"/>
    </row>
    <row r="1298" spans="81:81" x14ac:dyDescent="0.25">
      <c r="CC1298" s="15"/>
    </row>
    <row r="1299" spans="81:81" x14ac:dyDescent="0.25">
      <c r="CC1299" s="15"/>
    </row>
    <row r="1300" spans="81:81" x14ac:dyDescent="0.25">
      <c r="CC1300" s="15"/>
    </row>
    <row r="1301" spans="81:81" x14ac:dyDescent="0.25">
      <c r="CC1301" s="15"/>
    </row>
    <row r="1302" spans="81:81" x14ac:dyDescent="0.25">
      <c r="CC1302" s="15"/>
    </row>
    <row r="1303" spans="81:81" x14ac:dyDescent="0.25">
      <c r="CC1303" s="15"/>
    </row>
    <row r="1304" spans="81:81" x14ac:dyDescent="0.25">
      <c r="CC1304" s="15"/>
    </row>
    <row r="1305" spans="81:81" x14ac:dyDescent="0.25">
      <c r="CC1305" s="15"/>
    </row>
    <row r="1306" spans="81:81" x14ac:dyDescent="0.25">
      <c r="CC1306" s="15"/>
    </row>
    <row r="1307" spans="81:81" x14ac:dyDescent="0.25">
      <c r="CC1307" s="15"/>
    </row>
    <row r="1308" spans="81:81" x14ac:dyDescent="0.25">
      <c r="CC1308" s="15"/>
    </row>
    <row r="1309" spans="81:81" x14ac:dyDescent="0.25">
      <c r="CC1309" s="15"/>
    </row>
    <row r="1310" spans="81:81" x14ac:dyDescent="0.25">
      <c r="CC1310" s="15"/>
    </row>
    <row r="1311" spans="81:81" x14ac:dyDescent="0.25">
      <c r="CC1311" s="15"/>
    </row>
    <row r="1312" spans="81:81" x14ac:dyDescent="0.25">
      <c r="CC1312" s="15"/>
    </row>
    <row r="1313" spans="81:81" x14ac:dyDescent="0.25">
      <c r="CC1313" s="15"/>
    </row>
    <row r="1314" spans="81:81" x14ac:dyDescent="0.25">
      <c r="CC1314" s="15"/>
    </row>
    <row r="1315" spans="81:81" x14ac:dyDescent="0.25">
      <c r="CC1315" s="15"/>
    </row>
    <row r="1316" spans="81:81" x14ac:dyDescent="0.25">
      <c r="CC1316" s="15"/>
    </row>
    <row r="1317" spans="81:81" x14ac:dyDescent="0.25">
      <c r="CC1317" s="15"/>
    </row>
    <row r="1318" spans="81:81" x14ac:dyDescent="0.25">
      <c r="CC1318" s="15"/>
    </row>
    <row r="1319" spans="81:81" x14ac:dyDescent="0.25">
      <c r="CC1319" s="15"/>
    </row>
    <row r="1320" spans="81:81" x14ac:dyDescent="0.25">
      <c r="CC1320" s="15"/>
    </row>
    <row r="1321" spans="81:81" x14ac:dyDescent="0.25">
      <c r="CC1321" s="15"/>
    </row>
    <row r="1322" spans="81:81" x14ac:dyDescent="0.25">
      <c r="CC1322" s="15"/>
    </row>
    <row r="1323" spans="81:81" x14ac:dyDescent="0.25">
      <c r="CC1323" s="15"/>
    </row>
    <row r="1324" spans="81:81" x14ac:dyDescent="0.25">
      <c r="CC1324" s="15"/>
    </row>
    <row r="1325" spans="81:81" x14ac:dyDescent="0.25">
      <c r="CC1325" s="15"/>
    </row>
    <row r="1326" spans="81:81" x14ac:dyDescent="0.25">
      <c r="CC1326" s="15"/>
    </row>
    <row r="1327" spans="81:81" x14ac:dyDescent="0.25">
      <c r="CC1327" s="15"/>
    </row>
    <row r="1328" spans="81:81" x14ac:dyDescent="0.25">
      <c r="CC1328" s="15"/>
    </row>
    <row r="1329" spans="81:81" x14ac:dyDescent="0.25">
      <c r="CC1329" s="15"/>
    </row>
    <row r="1330" spans="81:81" x14ac:dyDescent="0.25">
      <c r="CC1330" s="15"/>
    </row>
    <row r="1331" spans="81:81" x14ac:dyDescent="0.25">
      <c r="CC1331" s="15"/>
    </row>
    <row r="1332" spans="81:81" x14ac:dyDescent="0.25">
      <c r="CC1332" s="15"/>
    </row>
    <row r="1333" spans="81:81" x14ac:dyDescent="0.25">
      <c r="CC1333" s="15"/>
    </row>
    <row r="1334" spans="81:81" x14ac:dyDescent="0.25">
      <c r="CC1334" s="15"/>
    </row>
    <row r="1335" spans="81:81" x14ac:dyDescent="0.25">
      <c r="CC1335" s="15"/>
    </row>
    <row r="1336" spans="81:81" x14ac:dyDescent="0.25">
      <c r="CC1336" s="15"/>
    </row>
    <row r="1337" spans="81:81" x14ac:dyDescent="0.25">
      <c r="CC1337" s="15"/>
    </row>
    <row r="1338" spans="81:81" x14ac:dyDescent="0.25">
      <c r="CC1338" s="15"/>
    </row>
    <row r="1339" spans="81:81" x14ac:dyDescent="0.25">
      <c r="CC1339" s="15"/>
    </row>
    <row r="1340" spans="81:81" x14ac:dyDescent="0.25">
      <c r="CC1340" s="15"/>
    </row>
    <row r="1341" spans="81:81" x14ac:dyDescent="0.25">
      <c r="CC1341" s="15"/>
    </row>
    <row r="1342" spans="81:81" x14ac:dyDescent="0.25">
      <c r="CC1342" s="15"/>
    </row>
    <row r="1343" spans="81:81" x14ac:dyDescent="0.25">
      <c r="CC1343" s="15"/>
    </row>
    <row r="1344" spans="81:81" x14ac:dyDescent="0.25">
      <c r="CC1344" s="15"/>
    </row>
    <row r="1345" spans="81:81" x14ac:dyDescent="0.25">
      <c r="CC1345" s="15"/>
    </row>
    <row r="1346" spans="81:81" x14ac:dyDescent="0.25">
      <c r="CC1346" s="15"/>
    </row>
    <row r="1347" spans="81:81" x14ac:dyDescent="0.25">
      <c r="CC1347" s="15"/>
    </row>
    <row r="1348" spans="81:81" x14ac:dyDescent="0.25">
      <c r="CC1348" s="15"/>
    </row>
    <row r="1349" spans="81:81" x14ac:dyDescent="0.25">
      <c r="CC1349" s="15"/>
    </row>
    <row r="1350" spans="81:81" x14ac:dyDescent="0.25">
      <c r="CC1350" s="15"/>
    </row>
    <row r="1351" spans="81:81" x14ac:dyDescent="0.25">
      <c r="CC1351" s="15"/>
    </row>
    <row r="1352" spans="81:81" x14ac:dyDescent="0.25">
      <c r="CC1352" s="15"/>
    </row>
    <row r="1353" spans="81:81" x14ac:dyDescent="0.25">
      <c r="CC1353" s="15"/>
    </row>
    <row r="1354" spans="81:81" x14ac:dyDescent="0.25">
      <c r="CC1354" s="15"/>
    </row>
    <row r="1355" spans="81:81" x14ac:dyDescent="0.25">
      <c r="CC1355" s="15"/>
    </row>
    <row r="1356" spans="81:81" x14ac:dyDescent="0.25">
      <c r="CC1356" s="15"/>
    </row>
    <row r="1357" spans="81:81" x14ac:dyDescent="0.25">
      <c r="CC1357" s="15"/>
    </row>
    <row r="1358" spans="81:81" x14ac:dyDescent="0.25">
      <c r="CC1358" s="15"/>
    </row>
    <row r="1359" spans="81:81" x14ac:dyDescent="0.25">
      <c r="CC1359" s="15"/>
    </row>
    <row r="1360" spans="81:81" x14ac:dyDescent="0.25">
      <c r="CC1360" s="15"/>
    </row>
    <row r="1361" spans="81:81" x14ac:dyDescent="0.25">
      <c r="CC1361" s="15"/>
    </row>
    <row r="1362" spans="81:81" x14ac:dyDescent="0.25">
      <c r="CC1362" s="15"/>
    </row>
    <row r="1363" spans="81:81" x14ac:dyDescent="0.25">
      <c r="CC1363" s="15"/>
    </row>
    <row r="1364" spans="81:81" x14ac:dyDescent="0.25">
      <c r="CC1364" s="15"/>
    </row>
    <row r="1365" spans="81:81" x14ac:dyDescent="0.25">
      <c r="CC1365" s="15"/>
    </row>
    <row r="1366" spans="81:81" x14ac:dyDescent="0.25">
      <c r="CC1366" s="15"/>
    </row>
    <row r="1367" spans="81:81" x14ac:dyDescent="0.25">
      <c r="CC1367" s="15"/>
    </row>
    <row r="1368" spans="81:81" x14ac:dyDescent="0.25">
      <c r="CC1368" s="15"/>
    </row>
    <row r="1369" spans="81:81" x14ac:dyDescent="0.25">
      <c r="CC1369" s="15"/>
    </row>
    <row r="1370" spans="81:81" x14ac:dyDescent="0.25">
      <c r="CC1370" s="15"/>
    </row>
    <row r="1371" spans="81:81" x14ac:dyDescent="0.25">
      <c r="CC1371" s="15"/>
    </row>
    <row r="1372" spans="81:81" x14ac:dyDescent="0.25">
      <c r="CC1372" s="15"/>
    </row>
    <row r="1373" spans="81:81" x14ac:dyDescent="0.25">
      <c r="CC1373" s="15"/>
    </row>
    <row r="1374" spans="81:81" x14ac:dyDescent="0.25">
      <c r="CC1374" s="15"/>
    </row>
    <row r="1375" spans="81:81" x14ac:dyDescent="0.25">
      <c r="CC1375" s="15"/>
    </row>
    <row r="1376" spans="81:81" x14ac:dyDescent="0.25">
      <c r="CC1376" s="15"/>
    </row>
    <row r="1377" spans="81:81" x14ac:dyDescent="0.25">
      <c r="CC1377" s="15"/>
    </row>
    <row r="1378" spans="81:81" x14ac:dyDescent="0.25">
      <c r="CC1378" s="15"/>
    </row>
    <row r="1379" spans="81:81" x14ac:dyDescent="0.25">
      <c r="CC1379" s="15"/>
    </row>
    <row r="1380" spans="81:81" x14ac:dyDescent="0.25">
      <c r="CC1380" s="15"/>
    </row>
    <row r="1381" spans="81:81" x14ac:dyDescent="0.25">
      <c r="CC1381" s="15"/>
    </row>
    <row r="1382" spans="81:81" x14ac:dyDescent="0.25">
      <c r="CC1382" s="15"/>
    </row>
    <row r="1383" spans="81:81" x14ac:dyDescent="0.25">
      <c r="CC1383" s="15"/>
    </row>
    <row r="1384" spans="81:81" x14ac:dyDescent="0.25">
      <c r="CC1384" s="15"/>
    </row>
    <row r="1385" spans="81:81" x14ac:dyDescent="0.25">
      <c r="CC1385" s="15"/>
    </row>
    <row r="1386" spans="81:81" x14ac:dyDescent="0.25">
      <c r="CC1386" s="15"/>
    </row>
    <row r="1387" spans="81:81" x14ac:dyDescent="0.25">
      <c r="CC1387" s="15"/>
    </row>
    <row r="1388" spans="81:81" x14ac:dyDescent="0.25">
      <c r="CC1388" s="15"/>
    </row>
    <row r="1389" spans="81:81" x14ac:dyDescent="0.25">
      <c r="CC1389" s="15"/>
    </row>
    <row r="1390" spans="81:81" x14ac:dyDescent="0.25">
      <c r="CC1390" s="15"/>
    </row>
    <row r="1391" spans="81:81" x14ac:dyDescent="0.25">
      <c r="CC1391" s="15"/>
    </row>
    <row r="1392" spans="81:81" x14ac:dyDescent="0.25">
      <c r="CC1392" s="15"/>
    </row>
    <row r="1393" spans="81:81" x14ac:dyDescent="0.25">
      <c r="CC1393" s="15"/>
    </row>
    <row r="1394" spans="81:81" x14ac:dyDescent="0.25">
      <c r="CC1394" s="15"/>
    </row>
    <row r="1395" spans="81:81" x14ac:dyDescent="0.25">
      <c r="CC1395" s="15"/>
    </row>
    <row r="1396" spans="81:81" x14ac:dyDescent="0.25">
      <c r="CC1396" s="15"/>
    </row>
    <row r="1397" spans="81:81" x14ac:dyDescent="0.25">
      <c r="CC1397" s="15"/>
    </row>
    <row r="1398" spans="81:81" x14ac:dyDescent="0.25">
      <c r="CC1398" s="15"/>
    </row>
    <row r="1399" spans="81:81" x14ac:dyDescent="0.25">
      <c r="CC1399" s="15"/>
    </row>
    <row r="1400" spans="81:81" x14ac:dyDescent="0.25">
      <c r="CC1400" s="15"/>
    </row>
    <row r="1401" spans="81:81" x14ac:dyDescent="0.25">
      <c r="CC1401" s="15"/>
    </row>
    <row r="1402" spans="81:81" x14ac:dyDescent="0.25">
      <c r="CC1402" s="15"/>
    </row>
    <row r="1403" spans="81:81" x14ac:dyDescent="0.25">
      <c r="CC1403" s="15"/>
    </row>
    <row r="1404" spans="81:81" x14ac:dyDescent="0.25">
      <c r="CC1404" s="15"/>
    </row>
    <row r="1405" spans="81:81" x14ac:dyDescent="0.25">
      <c r="CC1405" s="15"/>
    </row>
    <row r="1406" spans="81:81" x14ac:dyDescent="0.25">
      <c r="CC1406" s="15"/>
    </row>
    <row r="1407" spans="81:81" x14ac:dyDescent="0.25">
      <c r="CC1407" s="15"/>
    </row>
    <row r="1408" spans="81:81" x14ac:dyDescent="0.25">
      <c r="CC1408" s="15"/>
    </row>
    <row r="1409" spans="81:81" x14ac:dyDescent="0.25">
      <c r="CC1409" s="15"/>
    </row>
    <row r="1410" spans="81:81" x14ac:dyDescent="0.25">
      <c r="CC1410" s="15"/>
    </row>
    <row r="1411" spans="81:81" x14ac:dyDescent="0.25">
      <c r="CC1411" s="15"/>
    </row>
    <row r="1412" spans="81:81" x14ac:dyDescent="0.25">
      <c r="CC1412" s="15"/>
    </row>
    <row r="1413" spans="81:81" x14ac:dyDescent="0.25">
      <c r="CC1413" s="15"/>
    </row>
    <row r="1414" spans="81:81" x14ac:dyDescent="0.25">
      <c r="CC1414" s="15"/>
    </row>
    <row r="1415" spans="81:81" x14ac:dyDescent="0.25">
      <c r="CC1415" s="15"/>
    </row>
    <row r="1416" spans="81:81" x14ac:dyDescent="0.25">
      <c r="CC1416" s="15"/>
    </row>
    <row r="1417" spans="81:81" x14ac:dyDescent="0.25">
      <c r="CC1417" s="15"/>
    </row>
    <row r="1418" spans="81:81" x14ac:dyDescent="0.25">
      <c r="CC1418" s="15"/>
    </row>
    <row r="1419" spans="81:81" x14ac:dyDescent="0.25">
      <c r="CC1419" s="15"/>
    </row>
    <row r="1420" spans="81:81" x14ac:dyDescent="0.25">
      <c r="CC1420" s="15"/>
    </row>
    <row r="1421" spans="81:81" x14ac:dyDescent="0.25">
      <c r="CC1421" s="15"/>
    </row>
    <row r="1422" spans="81:81" x14ac:dyDescent="0.25">
      <c r="CC1422" s="15"/>
    </row>
    <row r="1423" spans="81:81" x14ac:dyDescent="0.25">
      <c r="CC1423" s="15"/>
    </row>
    <row r="1424" spans="81:81" x14ac:dyDescent="0.25">
      <c r="CC1424" s="15"/>
    </row>
    <row r="1425" spans="81:81" x14ac:dyDescent="0.25">
      <c r="CC1425" s="15"/>
    </row>
    <row r="1426" spans="81:81" x14ac:dyDescent="0.25">
      <c r="CC1426" s="15"/>
    </row>
    <row r="1427" spans="81:81" x14ac:dyDescent="0.25">
      <c r="CC1427" s="15"/>
    </row>
    <row r="1428" spans="81:81" x14ac:dyDescent="0.25">
      <c r="CC1428" s="15"/>
    </row>
    <row r="1429" spans="81:81" x14ac:dyDescent="0.25">
      <c r="CC1429" s="15"/>
    </row>
    <row r="1430" spans="81:81" x14ac:dyDescent="0.25">
      <c r="CC1430" s="15"/>
    </row>
    <row r="1431" spans="81:81" x14ac:dyDescent="0.25">
      <c r="CC1431" s="15"/>
    </row>
    <row r="1432" spans="81:81" x14ac:dyDescent="0.25">
      <c r="CC1432" s="15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75"/>
  <sheetViews>
    <sheetView topLeftCell="AJ140" workbookViewId="0">
      <selection activeCell="AF42" sqref="AF42:AF55"/>
    </sheetView>
  </sheetViews>
  <sheetFormatPr defaultRowHeight="15" x14ac:dyDescent="0.25"/>
  <cols>
    <col min="31" max="31" width="11" bestFit="1" customWidth="1"/>
    <col min="32" max="32" width="11.140625" bestFit="1" customWidth="1"/>
    <col min="33" max="33" width="10.140625" bestFit="1" customWidth="1"/>
    <col min="34" max="34" width="9.42578125" bestFit="1" customWidth="1"/>
    <col min="46" max="46" width="14.42578125" bestFit="1" customWidth="1"/>
    <col min="47" max="47" width="12.7109375" bestFit="1" customWidth="1"/>
    <col min="48" max="49" width="9.42578125" bestFit="1" customWidth="1"/>
    <col min="53" max="53" width="12" bestFit="1" customWidth="1"/>
    <col min="54" max="54" width="10.85546875" customWidth="1"/>
    <col min="55" max="55" width="11" bestFit="1" customWidth="1"/>
    <col min="56" max="56" width="12" bestFit="1" customWidth="1"/>
    <col min="57" max="58" width="9.28515625" bestFit="1" customWidth="1"/>
    <col min="64" max="64" width="11" bestFit="1" customWidth="1"/>
    <col min="65" max="65" width="12" bestFit="1" customWidth="1"/>
    <col min="66" max="67" width="9.28515625" bestFit="1" customWidth="1"/>
    <col min="68" max="68" width="12" bestFit="1" customWidth="1"/>
    <col min="69" max="69" width="11" bestFit="1" customWidth="1"/>
    <col min="70" max="70" width="9.28515625" bestFit="1" customWidth="1"/>
    <col min="77" max="77" width="12" bestFit="1" customWidth="1"/>
    <col min="78" max="78" width="11" bestFit="1" customWidth="1"/>
    <col min="79" max="79" width="9.28515625" bestFit="1" customWidth="1"/>
    <col min="85" max="85" width="12" bestFit="1" customWidth="1"/>
    <col min="86" max="86" width="11.140625" bestFit="1" customWidth="1"/>
    <col min="87" max="87" width="11.28515625" bestFit="1" customWidth="1"/>
  </cols>
  <sheetData>
    <row r="1" spans="1:47" x14ac:dyDescent="0.25">
      <c r="A1" t="s">
        <v>37</v>
      </c>
      <c r="C1" t="s">
        <v>608</v>
      </c>
      <c r="O1" t="s">
        <v>16</v>
      </c>
      <c r="AE1" t="s">
        <v>36</v>
      </c>
    </row>
    <row r="2" spans="1:47" x14ac:dyDescent="0.25">
      <c r="A2" t="s">
        <v>38</v>
      </c>
      <c r="C2" t="s">
        <v>594</v>
      </c>
      <c r="O2" s="1" t="s">
        <v>17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E2" t="s">
        <v>37</v>
      </c>
    </row>
    <row r="3" spans="1:47" x14ac:dyDescent="0.25">
      <c r="A3" s="1"/>
      <c r="B3" s="1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5" t="s">
        <v>1</v>
      </c>
      <c r="Q3" s="5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7</v>
      </c>
      <c r="W3" s="5" t="s">
        <v>8</v>
      </c>
      <c r="X3" s="5" t="s">
        <v>9</v>
      </c>
      <c r="Y3" s="5" t="s">
        <v>10</v>
      </c>
      <c r="Z3" s="5" t="s">
        <v>11</v>
      </c>
      <c r="AA3" s="5" t="s">
        <v>12</v>
      </c>
      <c r="AB3" s="5" t="s">
        <v>42</v>
      </c>
      <c r="AE3" s="5" t="s">
        <v>53</v>
      </c>
      <c r="AF3" s="12" t="s">
        <v>52</v>
      </c>
      <c r="AG3" s="9" t="s">
        <v>51</v>
      </c>
      <c r="AH3" s="9" t="s">
        <v>22</v>
      </c>
      <c r="AI3" s="9" t="s">
        <v>23</v>
      </c>
      <c r="AJ3" s="9" t="s">
        <v>24</v>
      </c>
      <c r="AK3" s="9" t="s">
        <v>25</v>
      </c>
      <c r="AL3" s="9" t="s">
        <v>26</v>
      </c>
      <c r="AM3" s="9" t="s">
        <v>27</v>
      </c>
      <c r="AN3" s="9" t="s">
        <v>28</v>
      </c>
      <c r="AO3" s="9" t="s">
        <v>29</v>
      </c>
      <c r="AP3" s="9" t="s">
        <v>30</v>
      </c>
      <c r="AQ3" s="9" t="s">
        <v>31</v>
      </c>
      <c r="AR3" s="9" t="s">
        <v>32</v>
      </c>
      <c r="AS3" s="9" t="s">
        <v>33</v>
      </c>
      <c r="AT3" s="9" t="s">
        <v>34</v>
      </c>
      <c r="AU3" s="9" t="s">
        <v>35</v>
      </c>
    </row>
    <row r="4" spans="1:47" x14ac:dyDescent="0.25">
      <c r="A4" s="1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11"/>
      <c r="O4" s="3">
        <v>1997</v>
      </c>
      <c r="P4" s="13">
        <v>15560</v>
      </c>
      <c r="Q4" s="13">
        <v>13831</v>
      </c>
      <c r="R4" s="13">
        <v>5311</v>
      </c>
      <c r="S4" s="13">
        <v>864</v>
      </c>
      <c r="T4" s="13">
        <v>124</v>
      </c>
      <c r="U4" s="13">
        <v>370</v>
      </c>
      <c r="V4" s="13">
        <v>124</v>
      </c>
      <c r="W4" s="13">
        <v>2469</v>
      </c>
      <c r="X4" s="13">
        <v>16214</v>
      </c>
      <c r="Y4" s="13">
        <v>3952</v>
      </c>
      <c r="Z4" s="13">
        <v>3705</v>
      </c>
      <c r="AA4" s="13">
        <v>18525</v>
      </c>
      <c r="AB4" s="22">
        <v>1997</v>
      </c>
      <c r="AC4" s="8">
        <v>0</v>
      </c>
      <c r="AE4" t="s">
        <v>40</v>
      </c>
      <c r="AF4" s="8">
        <v>18000</v>
      </c>
      <c r="AG4" s="8">
        <v>20000</v>
      </c>
      <c r="AH4" s="8">
        <v>22667</v>
      </c>
      <c r="AI4" s="8">
        <v>15000</v>
      </c>
      <c r="AJ4" s="8">
        <v>4500</v>
      </c>
      <c r="AK4" s="8">
        <v>11700</v>
      </c>
      <c r="AL4" s="8">
        <v>20000</v>
      </c>
      <c r="AM4" s="8">
        <v>17700</v>
      </c>
      <c r="AN4" s="8">
        <v>3270</v>
      </c>
      <c r="AO4" s="8">
        <v>3250</v>
      </c>
      <c r="AP4" s="8">
        <v>8810</v>
      </c>
      <c r="AQ4" s="8">
        <v>8500</v>
      </c>
      <c r="AR4" s="8">
        <v>27800</v>
      </c>
      <c r="AS4" s="8">
        <v>25500</v>
      </c>
      <c r="AT4" s="8">
        <v>24220</v>
      </c>
      <c r="AU4" s="8">
        <v>21300</v>
      </c>
    </row>
    <row r="5" spans="1:47" x14ac:dyDescent="0.25">
      <c r="A5" s="1">
        <v>1999</v>
      </c>
      <c r="B5" s="3">
        <v>97.833853000000005</v>
      </c>
      <c r="C5" s="3">
        <v>79.895991080000002</v>
      </c>
      <c r="D5" s="3">
        <v>111.35434309999999</v>
      </c>
      <c r="E5" s="3">
        <v>31.373942069999998</v>
      </c>
      <c r="F5" s="3">
        <v>15.81893097</v>
      </c>
      <c r="G5" s="3">
        <v>39.992873090000003</v>
      </c>
      <c r="H5" s="3">
        <v>23.80712694</v>
      </c>
      <c r="I5" s="3">
        <v>24.36948778</v>
      </c>
      <c r="J5" s="3">
        <v>16.870378630000001</v>
      </c>
      <c r="K5" s="3">
        <v>71.729175839999996</v>
      </c>
      <c r="L5" s="3">
        <v>87.212694760000005</v>
      </c>
      <c r="M5" s="3">
        <v>58.831625879999997</v>
      </c>
      <c r="N5" s="11"/>
      <c r="O5" s="1">
        <v>1998</v>
      </c>
      <c r="P5" s="7">
        <v>15560</v>
      </c>
      <c r="Q5" s="7">
        <v>13831</v>
      </c>
      <c r="R5" s="7">
        <v>5311</v>
      </c>
      <c r="S5" s="7">
        <v>864</v>
      </c>
      <c r="T5" s="7">
        <v>124</v>
      </c>
      <c r="U5" s="7">
        <v>370</v>
      </c>
      <c r="V5" s="7">
        <v>124</v>
      </c>
      <c r="W5" s="7">
        <v>2469</v>
      </c>
      <c r="X5" s="7">
        <v>16214</v>
      </c>
      <c r="Y5" s="7">
        <v>3952</v>
      </c>
      <c r="Z5" s="7">
        <v>3705</v>
      </c>
      <c r="AA5" s="7">
        <v>18525</v>
      </c>
      <c r="AB5">
        <f t="shared" ref="AB5:AB20" si="0">O5</f>
        <v>1998</v>
      </c>
      <c r="AC5" s="8">
        <f t="shared" ref="AC5:AC19" si="1">SUM(S5:AA5)+SUM(P6:R6)</f>
        <v>81049</v>
      </c>
      <c r="AE5" t="s">
        <v>39</v>
      </c>
      <c r="AF5" s="8">
        <v>144300</v>
      </c>
      <c r="AG5" s="8">
        <v>168000</v>
      </c>
      <c r="AH5" s="8">
        <v>172267</v>
      </c>
      <c r="AI5" s="8">
        <v>114000</v>
      </c>
      <c r="AJ5" s="8">
        <v>25000</v>
      </c>
      <c r="AK5" s="8">
        <v>98000</v>
      </c>
      <c r="AL5" s="8">
        <v>204000</v>
      </c>
      <c r="AM5" s="8">
        <v>145500</v>
      </c>
      <c r="AN5" s="8">
        <v>28000</v>
      </c>
      <c r="AO5" s="8">
        <v>27000</v>
      </c>
      <c r="AP5" s="8">
        <v>98000</v>
      </c>
      <c r="AQ5" s="8">
        <v>63750</v>
      </c>
      <c r="AR5" s="8">
        <v>297460</v>
      </c>
      <c r="AS5" s="8">
        <v>242250</v>
      </c>
      <c r="AT5" s="8">
        <v>248255</v>
      </c>
      <c r="AU5" s="8">
        <v>192942</v>
      </c>
    </row>
    <row r="6" spans="1:47" x14ac:dyDescent="0.25">
      <c r="A6" s="1">
        <v>2000</v>
      </c>
      <c r="B6" s="3">
        <v>49.773273879999998</v>
      </c>
      <c r="C6" s="3">
        <v>65.616481059999998</v>
      </c>
      <c r="D6" s="3">
        <v>61.951002299999999</v>
      </c>
      <c r="E6" s="3">
        <v>15.993095759999999</v>
      </c>
      <c r="F6" s="3">
        <v>37.183296259999999</v>
      </c>
      <c r="G6" s="3">
        <v>18.415367459999999</v>
      </c>
      <c r="H6" s="3">
        <v>11.00400892</v>
      </c>
      <c r="I6" s="3">
        <v>8.1002227330000007</v>
      </c>
      <c r="J6" s="3">
        <v>1.629175941</v>
      </c>
      <c r="K6" s="3">
        <v>77.318262939999997</v>
      </c>
      <c r="L6" s="3">
        <v>145.08262819999999</v>
      </c>
      <c r="M6" s="3">
        <v>9.4734966580000002</v>
      </c>
      <c r="N6" s="11"/>
      <c r="O6" s="6">
        <v>1999</v>
      </c>
      <c r="P6" s="7">
        <v>15560</v>
      </c>
      <c r="Q6" s="7">
        <v>13832</v>
      </c>
      <c r="R6" s="7">
        <v>5310</v>
      </c>
      <c r="S6" s="7">
        <v>864</v>
      </c>
      <c r="T6" s="7">
        <v>124</v>
      </c>
      <c r="U6" s="7">
        <v>370</v>
      </c>
      <c r="V6" s="7">
        <v>124</v>
      </c>
      <c r="W6" s="7">
        <v>2469</v>
      </c>
      <c r="X6" s="7">
        <v>16214</v>
      </c>
      <c r="Y6" s="7">
        <v>3952</v>
      </c>
      <c r="Z6" s="7">
        <v>3705</v>
      </c>
      <c r="AA6" s="7">
        <v>18525</v>
      </c>
      <c r="AB6">
        <f t="shared" si="0"/>
        <v>1999</v>
      </c>
      <c r="AC6" s="8">
        <f t="shared" si="1"/>
        <v>81049</v>
      </c>
    </row>
    <row r="7" spans="1:47" x14ac:dyDescent="0.25">
      <c r="A7" s="1">
        <v>2001</v>
      </c>
      <c r="B7" s="3">
        <v>50.617149189999999</v>
      </c>
      <c r="C7" s="3">
        <v>57.16414245</v>
      </c>
      <c r="D7" s="3">
        <v>32.179064599999997</v>
      </c>
      <c r="E7" s="3">
        <v>9.4815144999999994</v>
      </c>
      <c r="F7" s="3">
        <v>25.58418708</v>
      </c>
      <c r="G7" s="3">
        <v>48.930066709999998</v>
      </c>
      <c r="H7" s="3">
        <v>52.710913140000002</v>
      </c>
      <c r="I7" s="3">
        <v>3.4538975449999998</v>
      </c>
      <c r="J7" s="3">
        <v>4.7668151520000004</v>
      </c>
      <c r="K7" s="3">
        <v>42.362806220000003</v>
      </c>
      <c r="L7" s="3">
        <v>41.757238370000003</v>
      </c>
      <c r="M7" s="3">
        <v>20.05256129</v>
      </c>
      <c r="N7" s="11"/>
      <c r="O7" s="6">
        <v>2000</v>
      </c>
      <c r="P7" s="7">
        <v>15560</v>
      </c>
      <c r="Q7" s="7">
        <v>13831</v>
      </c>
      <c r="R7" s="7">
        <v>5311</v>
      </c>
      <c r="S7" s="7">
        <v>864</v>
      </c>
      <c r="T7" s="7">
        <v>124</v>
      </c>
      <c r="U7" s="7">
        <v>370</v>
      </c>
      <c r="V7" s="7">
        <v>124</v>
      </c>
      <c r="W7" s="7">
        <v>2469</v>
      </c>
      <c r="X7" s="7">
        <v>16214</v>
      </c>
      <c r="Y7" s="7">
        <v>3952</v>
      </c>
      <c r="Z7" s="7">
        <v>3705</v>
      </c>
      <c r="AA7" s="7">
        <v>18525</v>
      </c>
      <c r="AB7">
        <f t="shared" si="0"/>
        <v>2000</v>
      </c>
      <c r="AC7" s="8">
        <f t="shared" si="1"/>
        <v>81049</v>
      </c>
      <c r="AE7" t="s">
        <v>38</v>
      </c>
    </row>
    <row r="8" spans="1:47" x14ac:dyDescent="0.25">
      <c r="A8" s="1">
        <v>2002</v>
      </c>
      <c r="B8" s="3">
        <v>18.494209380000001</v>
      </c>
      <c r="C8" s="3">
        <v>73.757906550000001</v>
      </c>
      <c r="D8" s="3">
        <v>18.811135839999999</v>
      </c>
      <c r="E8" s="3">
        <v>18.714253889999998</v>
      </c>
      <c r="F8" s="3">
        <v>4.2505568089999999</v>
      </c>
      <c r="G8" s="3">
        <v>17.51893098</v>
      </c>
      <c r="H8" s="3">
        <v>8.8641425389999995</v>
      </c>
      <c r="I8" s="3">
        <v>20.41648107</v>
      </c>
      <c r="J8" s="3">
        <v>9.8530066820000002</v>
      </c>
      <c r="K8" s="3">
        <v>19.414253899999999</v>
      </c>
      <c r="L8" s="3">
        <v>9.3652561250000002</v>
      </c>
      <c r="M8" s="3">
        <v>40.142538979999998</v>
      </c>
      <c r="N8" s="11"/>
      <c r="O8" s="6">
        <v>2001</v>
      </c>
      <c r="P8" s="7">
        <v>15560</v>
      </c>
      <c r="Q8" s="7">
        <v>13831</v>
      </c>
      <c r="R8" s="7">
        <v>5311</v>
      </c>
      <c r="S8" s="7">
        <v>864</v>
      </c>
      <c r="T8" s="7">
        <v>124</v>
      </c>
      <c r="U8" s="7">
        <v>370</v>
      </c>
      <c r="V8" s="7">
        <v>124</v>
      </c>
      <c r="W8" s="7">
        <v>2469</v>
      </c>
      <c r="X8" s="7">
        <v>16171</v>
      </c>
      <c r="Y8" s="7">
        <v>0</v>
      </c>
      <c r="Z8" s="7">
        <v>0</v>
      </c>
      <c r="AA8" s="7">
        <v>0</v>
      </c>
      <c r="AB8">
        <f t="shared" si="0"/>
        <v>2001</v>
      </c>
      <c r="AC8" s="8">
        <f t="shared" si="1"/>
        <v>20122</v>
      </c>
      <c r="AE8" t="s">
        <v>53</v>
      </c>
      <c r="AF8" s="12" t="s">
        <v>52</v>
      </c>
      <c r="AG8" s="9" t="s">
        <v>51</v>
      </c>
      <c r="AH8" s="9" t="s">
        <v>22</v>
      </c>
      <c r="AI8" s="9" t="s">
        <v>23</v>
      </c>
      <c r="AJ8" s="9" t="s">
        <v>24</v>
      </c>
      <c r="AK8" s="9" t="s">
        <v>25</v>
      </c>
      <c r="AL8" s="9" t="s">
        <v>26</v>
      </c>
      <c r="AM8" s="9" t="s">
        <v>27</v>
      </c>
      <c r="AN8" s="9" t="s">
        <v>28</v>
      </c>
      <c r="AO8" s="9" t="s">
        <v>29</v>
      </c>
      <c r="AP8" s="9" t="s">
        <v>30</v>
      </c>
      <c r="AQ8" s="9" t="s">
        <v>31</v>
      </c>
      <c r="AR8" s="9" t="s">
        <v>32</v>
      </c>
      <c r="AS8" s="9" t="s">
        <v>33</v>
      </c>
      <c r="AT8" s="9" t="s">
        <v>34</v>
      </c>
      <c r="AU8" s="9" t="s">
        <v>35</v>
      </c>
    </row>
    <row r="9" spans="1:47" x14ac:dyDescent="0.25">
      <c r="A9" s="1">
        <v>2003</v>
      </c>
      <c r="B9" s="3">
        <v>8.699331849</v>
      </c>
      <c r="C9" s="3">
        <v>60.253897549999998</v>
      </c>
      <c r="D9" s="3">
        <v>35.890868599999997</v>
      </c>
      <c r="E9" s="3">
        <v>44.625835189999997</v>
      </c>
      <c r="F9" s="3">
        <v>21.603563470000001</v>
      </c>
      <c r="G9" s="3">
        <v>47.022271709999998</v>
      </c>
      <c r="H9" s="3">
        <v>29.715812960000001</v>
      </c>
      <c r="I9" s="3">
        <v>30.430734919999999</v>
      </c>
      <c r="J9" s="3">
        <v>0.40690423599999997</v>
      </c>
      <c r="K9" s="3">
        <v>37.259242780000001</v>
      </c>
      <c r="L9" s="3">
        <v>15.72472161</v>
      </c>
      <c r="M9" s="3">
        <v>75.743875329999995</v>
      </c>
      <c r="N9" s="11"/>
      <c r="O9" s="6">
        <v>2002</v>
      </c>
      <c r="P9" s="7">
        <v>0</v>
      </c>
      <c r="Q9" s="7">
        <v>0</v>
      </c>
      <c r="R9" s="7">
        <v>0</v>
      </c>
      <c r="S9" s="7">
        <v>749</v>
      </c>
      <c r="T9" s="7">
        <v>123</v>
      </c>
      <c r="U9" s="7">
        <v>371</v>
      </c>
      <c r="V9" s="7">
        <v>148</v>
      </c>
      <c r="W9" s="7">
        <v>2964</v>
      </c>
      <c r="X9" s="7">
        <v>18857</v>
      </c>
      <c r="Y9" s="7">
        <v>4742</v>
      </c>
      <c r="Z9" s="7">
        <v>4445</v>
      </c>
      <c r="AA9" s="7">
        <v>22230</v>
      </c>
      <c r="AB9">
        <f t="shared" si="0"/>
        <v>2002</v>
      </c>
      <c r="AC9" s="8">
        <f t="shared" si="1"/>
        <v>96271</v>
      </c>
      <c r="AE9" t="s">
        <v>40</v>
      </c>
      <c r="AF9" s="8">
        <v>15000</v>
      </c>
      <c r="AG9" s="8">
        <v>22000</v>
      </c>
      <c r="AH9" s="8">
        <v>25687</v>
      </c>
      <c r="AI9" s="8">
        <v>10000</v>
      </c>
      <c r="AJ9" s="8">
        <v>0</v>
      </c>
      <c r="AK9" s="8">
        <v>1000</v>
      </c>
      <c r="AL9" s="8">
        <v>20000</v>
      </c>
      <c r="AM9" s="8">
        <v>4825</v>
      </c>
      <c r="AN9" s="8">
        <v>500</v>
      </c>
      <c r="AO9" s="8">
        <v>50</v>
      </c>
      <c r="AP9" s="8">
        <v>12210</v>
      </c>
      <c r="AQ9" s="8">
        <v>2000</v>
      </c>
      <c r="AR9" s="8">
        <v>31000</v>
      </c>
      <c r="AS9" s="8">
        <v>30000</v>
      </c>
      <c r="AT9" s="8">
        <v>30965</v>
      </c>
      <c r="AU9" s="8">
        <v>28300</v>
      </c>
    </row>
    <row r="10" spans="1:47" x14ac:dyDescent="0.25">
      <c r="A10" s="1">
        <v>2004</v>
      </c>
      <c r="B10" s="3">
        <v>164.0893098</v>
      </c>
      <c r="C10" s="3">
        <v>40.120044450000002</v>
      </c>
      <c r="D10" s="3">
        <v>85.263474439999996</v>
      </c>
      <c r="E10" s="3">
        <v>22.832962129999999</v>
      </c>
      <c r="F10" s="3">
        <v>20.122494419999999</v>
      </c>
      <c r="G10" s="3">
        <v>4.2681514390000004</v>
      </c>
      <c r="H10" s="3">
        <v>15.857461020000001</v>
      </c>
      <c r="I10" s="3">
        <v>20.50334076</v>
      </c>
      <c r="J10" s="3">
        <v>33.661469930000003</v>
      </c>
      <c r="K10" s="3">
        <v>14.20489978</v>
      </c>
      <c r="L10" s="3">
        <v>65.610244989999998</v>
      </c>
      <c r="M10" s="3">
        <v>148.51893100000001</v>
      </c>
      <c r="N10" s="11"/>
      <c r="O10" s="6">
        <v>2003</v>
      </c>
      <c r="P10" s="7">
        <v>18672</v>
      </c>
      <c r="Q10" s="7">
        <v>16598</v>
      </c>
      <c r="R10" s="7">
        <v>6372</v>
      </c>
      <c r="S10" s="7">
        <v>1038</v>
      </c>
      <c r="T10" s="7">
        <v>148</v>
      </c>
      <c r="U10" s="7">
        <v>444</v>
      </c>
      <c r="V10" s="7">
        <v>124</v>
      </c>
      <c r="W10" s="7">
        <v>2469</v>
      </c>
      <c r="X10" s="7">
        <v>16215</v>
      </c>
      <c r="Y10" s="7">
        <v>3951</v>
      </c>
      <c r="Z10" s="7">
        <v>3705</v>
      </c>
      <c r="AA10" s="7">
        <v>18525</v>
      </c>
      <c r="AB10">
        <f t="shared" si="0"/>
        <v>2003</v>
      </c>
      <c r="AC10" s="8">
        <f t="shared" si="1"/>
        <v>81321</v>
      </c>
      <c r="AE10" t="s">
        <v>39</v>
      </c>
      <c r="AF10" s="8">
        <v>115500</v>
      </c>
      <c r="AG10" s="8">
        <v>180400</v>
      </c>
      <c r="AH10" s="8">
        <v>194791</v>
      </c>
      <c r="AI10" s="8">
        <v>71000</v>
      </c>
      <c r="AJ10" s="8">
        <v>0</v>
      </c>
      <c r="AK10" s="8">
        <v>7500</v>
      </c>
      <c r="AL10" s="8">
        <v>200000</v>
      </c>
      <c r="AM10" s="8">
        <v>39500</v>
      </c>
      <c r="AN10" s="8">
        <v>4700</v>
      </c>
      <c r="AO10" s="8">
        <v>450</v>
      </c>
      <c r="AP10" s="8">
        <v>132000</v>
      </c>
      <c r="AQ10" s="8">
        <v>15000</v>
      </c>
      <c r="AR10" s="8">
        <v>331700</v>
      </c>
      <c r="AS10" s="8">
        <v>315000</v>
      </c>
      <c r="AT10" s="8">
        <v>340615</v>
      </c>
      <c r="AU10" s="8">
        <v>310862</v>
      </c>
    </row>
    <row r="11" spans="1:47" x14ac:dyDescent="0.25">
      <c r="A11" s="1">
        <v>2005</v>
      </c>
      <c r="B11" s="3">
        <v>39.99331849</v>
      </c>
      <c r="C11" s="3">
        <v>22.43652561</v>
      </c>
      <c r="D11" s="3">
        <v>13.58351893</v>
      </c>
      <c r="E11" s="3">
        <v>0.52338530100000002</v>
      </c>
      <c r="F11" s="3">
        <v>52.187082410000002</v>
      </c>
      <c r="G11" s="3">
        <v>98.05567929</v>
      </c>
      <c r="H11" s="3">
        <v>7.0922049039999999</v>
      </c>
      <c r="I11" s="3">
        <v>11.29532294</v>
      </c>
      <c r="J11" s="3">
        <v>15.616481050000001</v>
      </c>
      <c r="K11" s="3">
        <v>57.403118110000001</v>
      </c>
      <c r="L11" s="3">
        <v>62.776614600000002</v>
      </c>
      <c r="M11" s="3">
        <v>27.6610245</v>
      </c>
      <c r="N11" s="11"/>
      <c r="O11" s="6">
        <v>2004</v>
      </c>
      <c r="P11" s="7">
        <v>15560</v>
      </c>
      <c r="Q11" s="7">
        <v>13831</v>
      </c>
      <c r="R11" s="7">
        <v>5311</v>
      </c>
      <c r="S11" s="7">
        <v>864</v>
      </c>
      <c r="T11" s="7">
        <v>124</v>
      </c>
      <c r="U11" s="7">
        <v>370</v>
      </c>
      <c r="V11" s="7">
        <v>124</v>
      </c>
      <c r="W11" s="7">
        <v>2469</v>
      </c>
      <c r="X11" s="7">
        <v>16214</v>
      </c>
      <c r="Y11" s="7">
        <v>3952</v>
      </c>
      <c r="Z11" s="7">
        <v>3705</v>
      </c>
      <c r="AA11" s="7">
        <v>18525</v>
      </c>
      <c r="AB11">
        <f t="shared" si="0"/>
        <v>2004</v>
      </c>
      <c r="AC11" s="8">
        <f t="shared" si="1"/>
        <v>81049</v>
      </c>
    </row>
    <row r="12" spans="1:47" x14ac:dyDescent="0.25">
      <c r="A12" s="1">
        <v>2006</v>
      </c>
      <c r="B12" s="3">
        <v>44.67260581</v>
      </c>
      <c r="C12" s="3">
        <v>32.064587920000001</v>
      </c>
      <c r="D12" s="3">
        <v>33.91514471</v>
      </c>
      <c r="E12" s="3">
        <v>14.08084633</v>
      </c>
      <c r="F12" s="3">
        <v>1.1011135910000001</v>
      </c>
      <c r="G12" s="3">
        <v>37.050556800000003</v>
      </c>
      <c r="H12" s="3">
        <v>39.657238329999998</v>
      </c>
      <c r="I12" s="3">
        <v>2.155456563</v>
      </c>
      <c r="J12" s="3">
        <v>7.1285078139999998</v>
      </c>
      <c r="K12" s="3">
        <v>1.6654788439999999</v>
      </c>
      <c r="L12" s="3">
        <v>30.370378580000001</v>
      </c>
      <c r="M12" s="3">
        <v>25.253897559999999</v>
      </c>
      <c r="N12" s="11"/>
      <c r="O12" s="6">
        <v>2005</v>
      </c>
      <c r="P12" s="7">
        <v>15560</v>
      </c>
      <c r="Q12" s="7">
        <v>13831</v>
      </c>
      <c r="R12" s="7">
        <v>5311</v>
      </c>
      <c r="S12" s="7">
        <v>864</v>
      </c>
      <c r="T12" s="7">
        <v>124</v>
      </c>
      <c r="U12" s="7">
        <v>370</v>
      </c>
      <c r="V12" s="7">
        <v>124</v>
      </c>
      <c r="W12" s="7">
        <v>2469</v>
      </c>
      <c r="X12" s="7">
        <v>16214</v>
      </c>
      <c r="Y12" s="7">
        <v>3952</v>
      </c>
      <c r="Z12" s="7">
        <v>3705</v>
      </c>
      <c r="AA12" s="7">
        <v>4845</v>
      </c>
      <c r="AB12">
        <f t="shared" si="0"/>
        <v>2005</v>
      </c>
      <c r="AC12" s="8">
        <f t="shared" si="1"/>
        <v>38123</v>
      </c>
      <c r="AE12" t="s">
        <v>37</v>
      </c>
      <c r="AJ12" t="s">
        <v>38</v>
      </c>
    </row>
    <row r="13" spans="1:47" x14ac:dyDescent="0.25">
      <c r="A13" s="1">
        <v>2007</v>
      </c>
      <c r="B13" s="3">
        <v>54.863919899999999</v>
      </c>
      <c r="C13" s="3">
        <v>43.098441020000003</v>
      </c>
      <c r="D13" s="3">
        <v>21.26302892</v>
      </c>
      <c r="E13" s="3">
        <v>15.36325166</v>
      </c>
      <c r="F13" s="3">
        <v>31.44365256</v>
      </c>
      <c r="G13" s="3">
        <v>27.083741610000001</v>
      </c>
      <c r="H13" s="3">
        <v>0.56124721600000005</v>
      </c>
      <c r="I13" s="3">
        <v>21.397550110000001</v>
      </c>
      <c r="J13" s="3">
        <v>4.7082405349999998</v>
      </c>
      <c r="K13" s="3">
        <v>30.605790649999999</v>
      </c>
      <c r="L13" s="3">
        <v>79.830734969999995</v>
      </c>
      <c r="M13" s="3">
        <v>148.57683739999999</v>
      </c>
      <c r="N13" s="11"/>
      <c r="O13" s="6">
        <v>2006</v>
      </c>
      <c r="P13" s="7">
        <v>2298</v>
      </c>
      <c r="Q13" s="7">
        <v>1385</v>
      </c>
      <c r="R13" s="7">
        <v>1773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392</v>
      </c>
      <c r="Y13" s="7">
        <v>0</v>
      </c>
      <c r="Z13" s="7">
        <v>444</v>
      </c>
      <c r="AA13" s="7">
        <v>22229</v>
      </c>
      <c r="AB13">
        <f t="shared" si="0"/>
        <v>2006</v>
      </c>
      <c r="AC13" s="8">
        <f t="shared" si="1"/>
        <v>64707</v>
      </c>
      <c r="AE13" t="str">
        <f t="array" ref="AE13:AG29">TRANSPOSE(AE3:AU5)</f>
        <v>year</v>
      </c>
      <c r="AF13" t="str">
        <v>area (ha)</v>
      </c>
      <c r="AG13" t="str">
        <v>yield (bales)</v>
      </c>
      <c r="AJ13" t="str">
        <f t="array" ref="AJ13:AL29">TRANSPOSE(AE8:AU10)</f>
        <v>year</v>
      </c>
      <c r="AK13" t="str">
        <v>area (ha)</v>
      </c>
      <c r="AL13" t="str">
        <v>yield (bales)</v>
      </c>
    </row>
    <row r="14" spans="1:47" x14ac:dyDescent="0.25">
      <c r="A14" s="1">
        <v>2008</v>
      </c>
      <c r="B14" s="3">
        <v>82.155901999999998</v>
      </c>
      <c r="C14" s="3">
        <v>102.2271715</v>
      </c>
      <c r="D14" s="3">
        <v>6.2360801779999999</v>
      </c>
      <c r="E14" s="3">
        <v>2.2427616929999998</v>
      </c>
      <c r="F14" s="3">
        <v>14.26948775</v>
      </c>
      <c r="G14" s="3">
        <v>50.325167039999997</v>
      </c>
      <c r="H14" s="3">
        <v>37.024944329999997</v>
      </c>
      <c r="I14" s="3">
        <v>6.9848552320000001</v>
      </c>
      <c r="J14" s="3">
        <v>65.194877529999999</v>
      </c>
      <c r="K14" s="3">
        <v>23.123162539999999</v>
      </c>
      <c r="L14" s="3">
        <v>52.056347369999997</v>
      </c>
      <c r="M14" s="3">
        <v>49.621826220000003</v>
      </c>
      <c r="N14" s="11"/>
      <c r="O14" s="6">
        <v>2007</v>
      </c>
      <c r="P14" s="7">
        <v>18672</v>
      </c>
      <c r="Q14" s="7">
        <v>16598</v>
      </c>
      <c r="R14" s="7">
        <v>6372</v>
      </c>
      <c r="S14" s="7">
        <v>1038</v>
      </c>
      <c r="T14" s="7">
        <v>148</v>
      </c>
      <c r="U14" s="7">
        <v>444</v>
      </c>
      <c r="V14" s="7">
        <v>142</v>
      </c>
      <c r="W14" s="7">
        <v>2842</v>
      </c>
      <c r="X14" s="7">
        <v>18201</v>
      </c>
      <c r="Y14" s="7">
        <v>4547</v>
      </c>
      <c r="Z14" s="7">
        <v>4262</v>
      </c>
      <c r="AA14" s="7">
        <v>21310</v>
      </c>
      <c r="AB14">
        <f t="shared" si="0"/>
        <v>2007</v>
      </c>
      <c r="AC14" s="8">
        <f t="shared" si="1"/>
        <v>92855</v>
      </c>
      <c r="AE14" t="str">
        <v>1998/99</v>
      </c>
      <c r="AF14" s="8">
        <v>18000</v>
      </c>
      <c r="AG14" s="8">
        <v>144300</v>
      </c>
      <c r="AJ14" t="str">
        <v>1998/99</v>
      </c>
      <c r="AK14" s="8">
        <v>15000</v>
      </c>
      <c r="AL14" s="8">
        <v>115500</v>
      </c>
    </row>
    <row r="15" spans="1:47" x14ac:dyDescent="0.25">
      <c r="A15" s="1">
        <v>2009</v>
      </c>
      <c r="B15" s="3">
        <v>74.239198160000001</v>
      </c>
      <c r="C15" s="3">
        <v>62.104231679999998</v>
      </c>
      <c r="D15" s="3">
        <v>3.6982182610000001</v>
      </c>
      <c r="E15" s="3">
        <v>39.912249439999997</v>
      </c>
      <c r="F15" s="3">
        <v>69.195768389999998</v>
      </c>
      <c r="G15" s="3">
        <v>30.965256029999999</v>
      </c>
      <c r="H15" s="3">
        <v>8.3717149329999998</v>
      </c>
      <c r="I15" s="3">
        <v>4.2216035539999996</v>
      </c>
      <c r="J15" s="3">
        <v>15.866592450000001</v>
      </c>
      <c r="K15" s="3">
        <v>22.648997770000001</v>
      </c>
      <c r="L15" s="3">
        <v>11.09755013</v>
      </c>
      <c r="M15" s="3">
        <v>98.988641509999994</v>
      </c>
      <c r="N15" s="11"/>
      <c r="O15" s="6">
        <v>2008</v>
      </c>
      <c r="P15" s="7">
        <v>17900</v>
      </c>
      <c r="Q15" s="7">
        <v>15912</v>
      </c>
      <c r="R15" s="7">
        <v>6109</v>
      </c>
      <c r="S15" s="7">
        <v>995</v>
      </c>
      <c r="T15" s="7">
        <v>142</v>
      </c>
      <c r="U15" s="7">
        <v>426</v>
      </c>
      <c r="V15" s="7">
        <v>124</v>
      </c>
      <c r="W15" s="7">
        <v>2470</v>
      </c>
      <c r="X15" s="7">
        <v>16214</v>
      </c>
      <c r="Y15" s="7">
        <v>3952</v>
      </c>
      <c r="Z15" s="7">
        <v>3705</v>
      </c>
      <c r="AA15" s="7">
        <v>2546</v>
      </c>
      <c r="AB15">
        <f t="shared" si="0"/>
        <v>2008</v>
      </c>
      <c r="AC15" s="8">
        <f t="shared" si="1"/>
        <v>65276</v>
      </c>
      <c r="AE15" t="str">
        <v>1999/00</v>
      </c>
      <c r="AF15" s="8">
        <v>20000</v>
      </c>
      <c r="AG15" s="8">
        <v>168000</v>
      </c>
      <c r="AJ15" t="str">
        <v>1999/00</v>
      </c>
      <c r="AK15" s="8">
        <v>22000</v>
      </c>
      <c r="AL15" s="8">
        <v>180400</v>
      </c>
    </row>
    <row r="16" spans="1:47" x14ac:dyDescent="0.25">
      <c r="A16" s="1">
        <v>2010</v>
      </c>
      <c r="B16" s="3">
        <v>50.087973320000003</v>
      </c>
      <c r="C16" s="3">
        <v>127.2351893</v>
      </c>
      <c r="D16" s="3">
        <v>163.43095740000001</v>
      </c>
      <c r="E16" s="3">
        <v>10.154788419999999</v>
      </c>
      <c r="F16" s="3">
        <v>18.933852989999998</v>
      </c>
      <c r="G16" s="3">
        <v>13.396436509999999</v>
      </c>
      <c r="H16" s="3">
        <v>70.105122519999995</v>
      </c>
      <c r="I16" s="3">
        <v>36.898440970000003</v>
      </c>
      <c r="J16" s="3">
        <v>57.48351882</v>
      </c>
      <c r="K16" s="3">
        <v>66.476614679999997</v>
      </c>
      <c r="L16" s="3">
        <v>108.61202659999999</v>
      </c>
      <c r="M16" s="3">
        <v>86.240311860000006</v>
      </c>
      <c r="N16" s="11"/>
      <c r="O16" s="6">
        <v>2009</v>
      </c>
      <c r="P16" s="7">
        <v>15560</v>
      </c>
      <c r="Q16" s="7">
        <v>13831</v>
      </c>
      <c r="R16" s="7">
        <v>5311</v>
      </c>
      <c r="S16" s="7">
        <v>864</v>
      </c>
      <c r="T16" s="7">
        <v>124</v>
      </c>
      <c r="U16" s="7">
        <v>370</v>
      </c>
      <c r="V16" s="7">
        <v>149</v>
      </c>
      <c r="W16" s="7">
        <v>2964</v>
      </c>
      <c r="X16" s="7">
        <v>18856</v>
      </c>
      <c r="Y16" s="7">
        <v>4742</v>
      </c>
      <c r="Z16" s="7">
        <v>4446</v>
      </c>
      <c r="AA16" s="7">
        <v>22230</v>
      </c>
      <c r="AB16">
        <f t="shared" si="0"/>
        <v>2009</v>
      </c>
      <c r="AC16" s="8">
        <f t="shared" si="1"/>
        <v>96387</v>
      </c>
      <c r="AE16" t="str">
        <v>2000/01</v>
      </c>
      <c r="AF16" s="8">
        <v>22667</v>
      </c>
      <c r="AG16" s="8">
        <v>172267</v>
      </c>
      <c r="AJ16" t="str">
        <v>2000/01</v>
      </c>
      <c r="AK16" s="8">
        <v>25687</v>
      </c>
      <c r="AL16" s="8">
        <v>194791</v>
      </c>
    </row>
    <row r="17" spans="1:38" x14ac:dyDescent="0.25">
      <c r="A17" s="1">
        <v>2011</v>
      </c>
      <c r="B17" s="3">
        <v>39.458574650000003</v>
      </c>
      <c r="C17" s="3">
        <v>43.468151470000002</v>
      </c>
      <c r="D17" s="3">
        <v>29.916258330000002</v>
      </c>
      <c r="E17" s="3">
        <v>28.23251673</v>
      </c>
      <c r="F17" s="3">
        <v>18.993763900000001</v>
      </c>
      <c r="G17" s="3">
        <v>20.506236080000001</v>
      </c>
      <c r="H17" s="3">
        <v>19.229621399999999</v>
      </c>
      <c r="I17" s="3">
        <v>21.099777289999999</v>
      </c>
      <c r="J17" s="3">
        <v>54.496659280000003</v>
      </c>
      <c r="K17" s="3">
        <v>50.418708189999997</v>
      </c>
      <c r="L17" s="3">
        <v>139.80623610000001</v>
      </c>
      <c r="M17" s="3">
        <v>102.910245</v>
      </c>
      <c r="N17" s="11"/>
      <c r="O17" s="6">
        <v>2010</v>
      </c>
      <c r="P17" s="7">
        <v>18672</v>
      </c>
      <c r="Q17" s="7">
        <v>16598</v>
      </c>
      <c r="R17" s="7">
        <v>6372</v>
      </c>
      <c r="S17" s="7">
        <v>1037</v>
      </c>
      <c r="T17" s="7">
        <v>149</v>
      </c>
      <c r="U17" s="7">
        <v>444</v>
      </c>
      <c r="V17" s="7">
        <v>124</v>
      </c>
      <c r="W17" s="7">
        <v>2470</v>
      </c>
      <c r="X17" s="7">
        <v>16214</v>
      </c>
      <c r="Y17" s="7">
        <v>3952</v>
      </c>
      <c r="Z17" s="7">
        <v>3704</v>
      </c>
      <c r="AA17" s="7">
        <v>18525</v>
      </c>
      <c r="AB17">
        <f t="shared" si="0"/>
        <v>2010</v>
      </c>
      <c r="AC17" s="8">
        <f t="shared" si="1"/>
        <v>81321</v>
      </c>
      <c r="AE17" t="str">
        <v>2001/02</v>
      </c>
      <c r="AF17" s="8">
        <v>15000</v>
      </c>
      <c r="AG17" s="8">
        <v>114000</v>
      </c>
      <c r="AJ17" t="str">
        <v>2001/02</v>
      </c>
      <c r="AK17" s="8">
        <v>10000</v>
      </c>
      <c r="AL17" s="8">
        <v>71000</v>
      </c>
    </row>
    <row r="18" spans="1:38" x14ac:dyDescent="0.25">
      <c r="A18" s="1">
        <v>2012</v>
      </c>
      <c r="B18" s="3">
        <v>141.44721630000001</v>
      </c>
      <c r="C18" s="3">
        <v>151.28530079999999</v>
      </c>
      <c r="D18" s="3">
        <v>19.521158119999999</v>
      </c>
      <c r="E18" s="3">
        <v>26.310244969999999</v>
      </c>
      <c r="F18" s="3">
        <v>30.530734930000001</v>
      </c>
      <c r="G18" s="3">
        <v>32.86948778</v>
      </c>
      <c r="H18" s="3">
        <v>39.378619139999998</v>
      </c>
      <c r="I18" s="3">
        <v>2.422271711</v>
      </c>
      <c r="J18" s="3">
        <v>4.9398663760000003</v>
      </c>
      <c r="K18" s="3">
        <v>9.3830735109999992</v>
      </c>
      <c r="L18" s="3">
        <v>15.37884189</v>
      </c>
      <c r="M18" s="3">
        <v>36.837639189999997</v>
      </c>
      <c r="N18" s="11"/>
      <c r="O18" s="6">
        <v>2011</v>
      </c>
      <c r="P18" s="7">
        <v>15560</v>
      </c>
      <c r="Q18" s="7">
        <v>13832</v>
      </c>
      <c r="R18" s="7">
        <v>5310</v>
      </c>
      <c r="S18" s="7">
        <v>864</v>
      </c>
      <c r="T18" s="7">
        <v>124</v>
      </c>
      <c r="U18" s="7">
        <v>371</v>
      </c>
      <c r="V18" s="7">
        <v>123</v>
      </c>
      <c r="W18" s="7">
        <v>2470</v>
      </c>
      <c r="X18" s="7">
        <v>16214</v>
      </c>
      <c r="Y18" s="7">
        <v>3952</v>
      </c>
      <c r="Z18" s="7">
        <v>3705</v>
      </c>
      <c r="AA18" s="7">
        <v>18524</v>
      </c>
      <c r="AB18">
        <f t="shared" si="0"/>
        <v>2011</v>
      </c>
      <c r="AC18" s="8">
        <f t="shared" si="1"/>
        <v>81049</v>
      </c>
      <c r="AE18" t="str">
        <v>2002/03</v>
      </c>
      <c r="AF18" s="8">
        <v>4500</v>
      </c>
      <c r="AG18" s="8">
        <v>25000</v>
      </c>
      <c r="AJ18" t="str">
        <v>2002/03</v>
      </c>
      <c r="AK18" s="8">
        <v>0</v>
      </c>
      <c r="AL18" s="8">
        <v>0</v>
      </c>
    </row>
    <row r="19" spans="1:38" x14ac:dyDescent="0.25">
      <c r="A19" s="1">
        <v>2013</v>
      </c>
      <c r="B19" s="3">
        <v>42.439866299999998</v>
      </c>
      <c r="C19" s="3">
        <v>35.749220459999997</v>
      </c>
      <c r="D19" s="3">
        <v>56.964142549999998</v>
      </c>
      <c r="E19" s="3">
        <v>6.2412026740000002</v>
      </c>
      <c r="F19" s="3">
        <v>36.766147029999999</v>
      </c>
      <c r="G19" s="3">
        <v>15.651893100000001</v>
      </c>
      <c r="H19" s="3">
        <v>13.25434299</v>
      </c>
      <c r="I19" s="3">
        <v>2.4839643640000002</v>
      </c>
      <c r="J19" s="3">
        <v>13.04053453</v>
      </c>
      <c r="K19" s="3">
        <v>6.113585756</v>
      </c>
      <c r="L19" s="3">
        <v>24.497104709999999</v>
      </c>
      <c r="M19" s="3">
        <v>4.259020048</v>
      </c>
      <c r="N19" s="11"/>
      <c r="O19" s="6">
        <v>2012</v>
      </c>
      <c r="P19" s="7">
        <v>15560</v>
      </c>
      <c r="Q19" s="7">
        <v>13831</v>
      </c>
      <c r="R19" s="7">
        <v>5311</v>
      </c>
      <c r="S19" s="7">
        <v>864</v>
      </c>
      <c r="T19" s="7">
        <v>124</v>
      </c>
      <c r="U19" s="7">
        <v>370</v>
      </c>
      <c r="V19" s="7">
        <v>124</v>
      </c>
      <c r="W19" s="7">
        <v>2470</v>
      </c>
      <c r="X19" s="7">
        <v>16214</v>
      </c>
      <c r="Y19" s="7">
        <v>3952</v>
      </c>
      <c r="Z19" s="7">
        <v>3705</v>
      </c>
      <c r="AA19" s="7">
        <v>18524</v>
      </c>
      <c r="AB19">
        <f t="shared" si="0"/>
        <v>2012</v>
      </c>
      <c r="AC19" s="8">
        <f t="shared" si="1"/>
        <v>60688</v>
      </c>
      <c r="AE19" t="str">
        <v>2003/04</v>
      </c>
      <c r="AF19" s="8">
        <v>11700</v>
      </c>
      <c r="AG19" s="8">
        <v>98000</v>
      </c>
      <c r="AJ19" t="str">
        <v>2003/04</v>
      </c>
      <c r="AK19" s="8">
        <v>1000</v>
      </c>
      <c r="AL19" s="8">
        <v>7500</v>
      </c>
    </row>
    <row r="20" spans="1:38" x14ac:dyDescent="0.25">
      <c r="A20" s="1">
        <v>2014</v>
      </c>
      <c r="B20" s="4">
        <v>32.355456570000001</v>
      </c>
      <c r="C20" s="4">
        <v>48.473273929999998</v>
      </c>
      <c r="D20" s="4">
        <v>71.879955499999994</v>
      </c>
      <c r="E20" s="4">
        <v>14.38040088</v>
      </c>
      <c r="F20" s="4">
        <v>6.0612472339999997</v>
      </c>
      <c r="G20" s="4">
        <v>25.367483270000001</v>
      </c>
      <c r="H20" s="4"/>
      <c r="I20" s="4"/>
      <c r="J20" s="4"/>
      <c r="K20" s="4"/>
      <c r="L20" s="4"/>
      <c r="M20" s="4"/>
      <c r="O20" s="6">
        <v>2013</v>
      </c>
      <c r="P20" s="7">
        <v>13962</v>
      </c>
      <c r="Q20" s="7">
        <v>0</v>
      </c>
      <c r="R20" s="7">
        <v>379</v>
      </c>
      <c r="S20" s="7">
        <v>864</v>
      </c>
      <c r="T20" s="7">
        <v>124</v>
      </c>
      <c r="U20" s="7">
        <v>371</v>
      </c>
      <c r="V20" s="7"/>
      <c r="W20" s="7"/>
      <c r="X20" s="7"/>
      <c r="Y20" s="7"/>
      <c r="Z20" s="7"/>
      <c r="AA20" s="7"/>
      <c r="AB20">
        <f t="shared" si="0"/>
        <v>2013</v>
      </c>
      <c r="AC20" s="8">
        <f>AC19</f>
        <v>60688</v>
      </c>
      <c r="AE20" t="str">
        <v>2004/05</v>
      </c>
      <c r="AF20" s="8">
        <v>20000</v>
      </c>
      <c r="AG20" s="8">
        <v>204000</v>
      </c>
      <c r="AJ20" t="str">
        <v>2004/05</v>
      </c>
      <c r="AK20" s="8">
        <v>20000</v>
      </c>
      <c r="AL20" s="8">
        <v>200000</v>
      </c>
    </row>
    <row r="21" spans="1:38" x14ac:dyDescent="0.25">
      <c r="O21" s="6">
        <v>2014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/>
      <c r="W21" s="7"/>
      <c r="X21" s="7"/>
      <c r="Y21" s="7"/>
      <c r="Z21" s="7"/>
      <c r="AA21" s="7"/>
      <c r="AE21" t="str">
        <v>2005/06</v>
      </c>
      <c r="AF21" s="8">
        <v>17700</v>
      </c>
      <c r="AG21" s="8">
        <v>145500</v>
      </c>
      <c r="AJ21" t="str">
        <v>2005/06</v>
      </c>
      <c r="AK21" s="8">
        <v>4825</v>
      </c>
      <c r="AL21" s="8">
        <v>39500</v>
      </c>
    </row>
    <row r="22" spans="1:38" x14ac:dyDescent="0.25">
      <c r="B22" t="s">
        <v>45</v>
      </c>
      <c r="C22" t="s">
        <v>46</v>
      </c>
      <c r="F22" t="s">
        <v>47</v>
      </c>
      <c r="H22" t="s">
        <v>46</v>
      </c>
      <c r="AE22" t="str">
        <v>2006/07</v>
      </c>
      <c r="AF22" s="8">
        <v>3270</v>
      </c>
      <c r="AG22" s="8">
        <v>28000</v>
      </c>
      <c r="AJ22" t="str">
        <v>2006/07</v>
      </c>
      <c r="AK22" s="8">
        <v>500</v>
      </c>
      <c r="AL22" s="8">
        <v>4700</v>
      </c>
    </row>
    <row r="23" spans="1:38" x14ac:dyDescent="0.25">
      <c r="A23" t="s">
        <v>43</v>
      </c>
      <c r="B23" t="s">
        <v>44</v>
      </c>
      <c r="C23" t="s">
        <v>44</v>
      </c>
      <c r="E23" t="s">
        <v>43</v>
      </c>
      <c r="F23" t="s">
        <v>48</v>
      </c>
      <c r="G23" t="s">
        <v>49</v>
      </c>
      <c r="H23" t="s">
        <v>50</v>
      </c>
      <c r="I23" t="s">
        <v>49</v>
      </c>
      <c r="O23" s="1" t="s">
        <v>18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E23" t="str">
        <v>2007/08</v>
      </c>
      <c r="AF23" s="8">
        <v>3250</v>
      </c>
      <c r="AG23" s="8">
        <v>27000</v>
      </c>
      <c r="AJ23" t="str">
        <v>2007/08</v>
      </c>
      <c r="AK23" s="8">
        <v>50</v>
      </c>
      <c r="AL23" s="8">
        <v>450</v>
      </c>
    </row>
    <row r="24" spans="1:38" x14ac:dyDescent="0.25">
      <c r="A24" s="1">
        <v>2000</v>
      </c>
      <c r="B24" s="11">
        <f t="shared" ref="B24:B37" si="2">SUM(B6:G6)</f>
        <v>248.93251671999997</v>
      </c>
      <c r="C24" s="11">
        <f t="shared" ref="C24:C37" si="3">L5+M5+SUM(B6:G6)</f>
        <v>394.97683735999999</v>
      </c>
      <c r="E24" s="1">
        <v>2000</v>
      </c>
      <c r="F24" s="11">
        <f t="shared" ref="F24:F37" si="4">B24-150</f>
        <v>98.932516719999967</v>
      </c>
      <c r="G24" s="8">
        <v>25687</v>
      </c>
      <c r="H24" s="11">
        <f t="shared" ref="H24:H37" si="5">C24-200</f>
        <v>194.97683735999999</v>
      </c>
      <c r="I24" s="8">
        <v>25687</v>
      </c>
      <c r="O24" s="1"/>
      <c r="P24" s="5" t="s">
        <v>1</v>
      </c>
      <c r="Q24" s="5" t="s">
        <v>2</v>
      </c>
      <c r="R24" s="5" t="s">
        <v>3</v>
      </c>
      <c r="S24" s="5" t="s">
        <v>4</v>
      </c>
      <c r="T24" s="5" t="s">
        <v>5</v>
      </c>
      <c r="U24" s="5" t="s">
        <v>6</v>
      </c>
      <c r="V24" s="5" t="s">
        <v>7</v>
      </c>
      <c r="W24" s="5" t="s">
        <v>8</v>
      </c>
      <c r="X24" s="5" t="s">
        <v>9</v>
      </c>
      <c r="Y24" s="5" t="s">
        <v>10</v>
      </c>
      <c r="Z24" s="5" t="s">
        <v>11</v>
      </c>
      <c r="AA24" s="5" t="s">
        <v>12</v>
      </c>
      <c r="AE24" t="str">
        <v>2008/09</v>
      </c>
      <c r="AF24" s="8">
        <v>8810</v>
      </c>
      <c r="AG24" s="8">
        <v>98000</v>
      </c>
      <c r="AJ24" t="str">
        <v>2008/09</v>
      </c>
      <c r="AK24" s="8">
        <v>12210</v>
      </c>
      <c r="AL24" s="8">
        <v>132000</v>
      </c>
    </row>
    <row r="25" spans="1:38" x14ac:dyDescent="0.25">
      <c r="A25" s="1">
        <v>2001</v>
      </c>
      <c r="B25" s="11">
        <f t="shared" si="2"/>
        <v>223.95612453000001</v>
      </c>
      <c r="C25" s="11">
        <f t="shared" si="3"/>
        <v>378.51224938799999</v>
      </c>
      <c r="E25" s="1">
        <v>2001</v>
      </c>
      <c r="F25" s="11">
        <f t="shared" si="4"/>
        <v>73.956124530000011</v>
      </c>
      <c r="G25" s="8">
        <v>10000</v>
      </c>
      <c r="H25" s="11">
        <f t="shared" si="5"/>
        <v>178.51224938799999</v>
      </c>
      <c r="I25" s="8">
        <v>10000</v>
      </c>
      <c r="O25" s="1">
        <v>1997</v>
      </c>
      <c r="P25" s="5">
        <v>0</v>
      </c>
      <c r="Q25" s="5">
        <v>140262</v>
      </c>
      <c r="R25" s="5">
        <v>63496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2708</v>
      </c>
      <c r="AB25" s="5">
        <v>1997</v>
      </c>
      <c r="AE25" t="str">
        <v>2009/10</v>
      </c>
      <c r="AF25" s="8">
        <v>8500</v>
      </c>
      <c r="AG25" s="8">
        <v>63750</v>
      </c>
      <c r="AJ25" t="str">
        <v>2009/10</v>
      </c>
      <c r="AK25" s="8">
        <v>2000</v>
      </c>
      <c r="AL25" s="8">
        <v>15000</v>
      </c>
    </row>
    <row r="26" spans="1:38" x14ac:dyDescent="0.25">
      <c r="A26" s="1">
        <v>2002</v>
      </c>
      <c r="B26" s="11">
        <f t="shared" si="2"/>
        <v>151.54699344899998</v>
      </c>
      <c r="C26" s="11">
        <f t="shared" si="3"/>
        <v>213.35679310899999</v>
      </c>
      <c r="E26" s="1">
        <v>2002</v>
      </c>
      <c r="F26" s="11">
        <f t="shared" si="4"/>
        <v>1.5469934489999844</v>
      </c>
      <c r="G26" s="8">
        <v>1</v>
      </c>
      <c r="H26" s="11">
        <f t="shared" si="5"/>
        <v>13.356793108999995</v>
      </c>
      <c r="I26" s="8">
        <v>1</v>
      </c>
      <c r="O26" s="1">
        <v>1998</v>
      </c>
      <c r="P26" s="7">
        <v>0</v>
      </c>
      <c r="Q26" s="7">
        <v>94965</v>
      </c>
      <c r="R26" s="7">
        <v>0</v>
      </c>
      <c r="S26" s="7">
        <v>0</v>
      </c>
      <c r="T26" s="7">
        <v>56616</v>
      </c>
      <c r="U26" s="7">
        <v>0</v>
      </c>
      <c r="V26" s="7">
        <v>0</v>
      </c>
      <c r="W26" s="7">
        <v>13683</v>
      </c>
      <c r="X26" s="7">
        <v>131874</v>
      </c>
      <c r="Y26" s="7">
        <v>2633</v>
      </c>
      <c r="Z26" s="7">
        <v>0</v>
      </c>
      <c r="AA26" s="7">
        <v>0</v>
      </c>
      <c r="AB26">
        <f t="shared" ref="AB26:AB41" si="6">O26</f>
        <v>1998</v>
      </c>
      <c r="AC26" s="8">
        <f t="shared" ref="AC26:AC41" si="7">SUM(P26:Y26)+Z25+AA25</f>
        <v>302479</v>
      </c>
      <c r="AE26" t="str">
        <v>2010/11</v>
      </c>
      <c r="AF26" s="8">
        <v>27800</v>
      </c>
      <c r="AG26" s="8">
        <v>297460</v>
      </c>
      <c r="AJ26" t="str">
        <v>2010/11</v>
      </c>
      <c r="AK26" s="8">
        <v>31000</v>
      </c>
      <c r="AL26" s="8">
        <v>331700</v>
      </c>
    </row>
    <row r="27" spans="1:38" x14ac:dyDescent="0.25">
      <c r="A27" s="1">
        <v>2003</v>
      </c>
      <c r="B27" s="11">
        <f t="shared" si="2"/>
        <v>218.09576836899998</v>
      </c>
      <c r="C27" s="11">
        <f t="shared" si="3"/>
        <v>267.603563474</v>
      </c>
      <c r="E27" s="1">
        <v>2003</v>
      </c>
      <c r="F27" s="11">
        <f t="shared" si="4"/>
        <v>68.095768368999984</v>
      </c>
      <c r="G27" s="8">
        <v>1000</v>
      </c>
      <c r="H27" s="11">
        <f t="shared" si="5"/>
        <v>67.603563473999998</v>
      </c>
      <c r="I27" s="8">
        <v>1000</v>
      </c>
      <c r="O27" s="6">
        <v>1999</v>
      </c>
      <c r="P27" s="7">
        <v>0</v>
      </c>
      <c r="Q27" s="7">
        <v>110016</v>
      </c>
      <c r="R27" s="7">
        <v>83536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>
        <f t="shared" si="6"/>
        <v>1999</v>
      </c>
      <c r="AC27" s="8">
        <f t="shared" si="7"/>
        <v>193552</v>
      </c>
      <c r="AE27" t="str">
        <v>2011/12</v>
      </c>
      <c r="AF27" s="8">
        <v>25500</v>
      </c>
      <c r="AG27" s="8">
        <v>242250</v>
      </c>
      <c r="AJ27" t="str">
        <v>2011/12</v>
      </c>
      <c r="AK27" s="8">
        <v>30000</v>
      </c>
      <c r="AL27" s="8">
        <v>315000</v>
      </c>
    </row>
    <row r="28" spans="1:38" x14ac:dyDescent="0.25">
      <c r="A28" s="1">
        <v>2004</v>
      </c>
      <c r="B28" s="11">
        <f t="shared" si="2"/>
        <v>336.69643667899999</v>
      </c>
      <c r="C28" s="11">
        <f t="shared" si="3"/>
        <v>428.16503361899998</v>
      </c>
      <c r="E28" s="1">
        <v>2004</v>
      </c>
      <c r="F28" s="11">
        <f t="shared" si="4"/>
        <v>186.69643667899999</v>
      </c>
      <c r="G28" s="8">
        <v>20000</v>
      </c>
      <c r="H28" s="11">
        <f t="shared" si="5"/>
        <v>228.16503361899998</v>
      </c>
      <c r="I28" s="8">
        <v>20000</v>
      </c>
      <c r="O28" s="6">
        <v>2000</v>
      </c>
      <c r="P28" s="7">
        <v>20344</v>
      </c>
      <c r="Q28" s="7">
        <v>27418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82323</v>
      </c>
      <c r="AA28" s="7">
        <v>0</v>
      </c>
      <c r="AB28">
        <f t="shared" si="6"/>
        <v>2000</v>
      </c>
      <c r="AC28" s="8">
        <f t="shared" si="7"/>
        <v>47762</v>
      </c>
      <c r="AE28" t="str">
        <v>2012/13</v>
      </c>
      <c r="AF28" s="8">
        <v>24220</v>
      </c>
      <c r="AG28" s="8">
        <v>248255</v>
      </c>
      <c r="AJ28" t="str">
        <v>2012/13</v>
      </c>
      <c r="AK28" s="8">
        <v>30965</v>
      </c>
      <c r="AL28" s="8">
        <v>340615</v>
      </c>
    </row>
    <row r="29" spans="1:38" x14ac:dyDescent="0.25">
      <c r="A29" s="1">
        <v>2005</v>
      </c>
      <c r="B29" s="11">
        <f t="shared" si="2"/>
        <v>226.779510031</v>
      </c>
      <c r="C29" s="11">
        <f t="shared" si="3"/>
        <v>440.90868602099999</v>
      </c>
      <c r="E29" s="1">
        <v>2005</v>
      </c>
      <c r="F29" s="11">
        <f t="shared" si="4"/>
        <v>76.779510031000001</v>
      </c>
      <c r="G29" s="8">
        <v>4825</v>
      </c>
      <c r="H29" s="11">
        <f t="shared" si="5"/>
        <v>240.90868602099999</v>
      </c>
      <c r="I29" s="8">
        <v>4825</v>
      </c>
      <c r="O29" s="6">
        <v>2001</v>
      </c>
      <c r="P29" s="7">
        <v>0</v>
      </c>
      <c r="Q29" s="7">
        <v>395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>
        <f t="shared" si="6"/>
        <v>2001</v>
      </c>
      <c r="AC29" s="8">
        <f t="shared" si="7"/>
        <v>82718</v>
      </c>
      <c r="AE29" t="str">
        <v>2013/14</v>
      </c>
      <c r="AF29" s="8">
        <v>21300</v>
      </c>
      <c r="AG29" s="8">
        <v>192942</v>
      </c>
      <c r="AJ29" t="str">
        <v>2013/14</v>
      </c>
      <c r="AK29" s="8">
        <v>28300</v>
      </c>
      <c r="AL29" s="8">
        <v>310862</v>
      </c>
    </row>
    <row r="30" spans="1:38" x14ac:dyDescent="0.25">
      <c r="A30" s="1">
        <v>2006</v>
      </c>
      <c r="B30" s="11">
        <f t="shared" si="2"/>
        <v>162.88485516099999</v>
      </c>
      <c r="C30" s="11">
        <f t="shared" si="3"/>
        <v>253.32249426099997</v>
      </c>
      <c r="E30" s="1">
        <v>2006</v>
      </c>
      <c r="F30" s="11">
        <f t="shared" si="4"/>
        <v>12.88485516099999</v>
      </c>
      <c r="G30" s="8">
        <v>500</v>
      </c>
      <c r="H30" s="11">
        <f t="shared" si="5"/>
        <v>53.322494260999974</v>
      </c>
      <c r="I30" s="8">
        <v>500</v>
      </c>
      <c r="O30" s="6">
        <v>2002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>
        <f t="shared" si="6"/>
        <v>2002</v>
      </c>
      <c r="AC30" s="8">
        <f t="shared" si="7"/>
        <v>0</v>
      </c>
    </row>
    <row r="31" spans="1:38" x14ac:dyDescent="0.25">
      <c r="A31" s="1">
        <v>2007</v>
      </c>
      <c r="B31" s="11">
        <f t="shared" si="2"/>
        <v>193.11603567</v>
      </c>
      <c r="C31" s="11">
        <f t="shared" si="3"/>
        <v>248.74031181000001</v>
      </c>
      <c r="E31" s="1">
        <v>2007</v>
      </c>
      <c r="F31" s="11">
        <f t="shared" si="4"/>
        <v>43.116035670000002</v>
      </c>
      <c r="G31" s="8">
        <v>50</v>
      </c>
      <c r="H31" s="11">
        <f t="shared" si="5"/>
        <v>48.740311810000009</v>
      </c>
      <c r="I31" s="8">
        <v>50</v>
      </c>
      <c r="O31" s="6">
        <v>2003</v>
      </c>
      <c r="P31" s="7">
        <v>0</v>
      </c>
      <c r="Q31" s="7">
        <v>0</v>
      </c>
      <c r="R31" s="7">
        <v>0</v>
      </c>
      <c r="S31" s="7">
        <v>17024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12536</v>
      </c>
      <c r="AB31">
        <f t="shared" si="6"/>
        <v>2003</v>
      </c>
      <c r="AC31" s="8">
        <f t="shared" si="7"/>
        <v>17024</v>
      </c>
    </row>
    <row r="32" spans="1:38" x14ac:dyDescent="0.25">
      <c r="A32" s="1">
        <v>2008</v>
      </c>
      <c r="B32" s="11">
        <f t="shared" si="2"/>
        <v>257.456570161</v>
      </c>
      <c r="C32" s="11">
        <f t="shared" si="3"/>
        <v>485.86414253099997</v>
      </c>
      <c r="E32" s="1">
        <v>2008</v>
      </c>
      <c r="F32" s="11">
        <f t="shared" si="4"/>
        <v>107.456570161</v>
      </c>
      <c r="G32" s="8">
        <v>12210</v>
      </c>
      <c r="H32" s="11">
        <f t="shared" si="5"/>
        <v>285.86414253099997</v>
      </c>
      <c r="I32" s="8">
        <v>12210</v>
      </c>
      <c r="O32" s="6">
        <v>2004</v>
      </c>
      <c r="P32" s="7">
        <v>120790</v>
      </c>
      <c r="Q32" s="7">
        <v>21752</v>
      </c>
      <c r="R32" s="7">
        <v>34618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8854</v>
      </c>
      <c r="AB32">
        <f t="shared" si="6"/>
        <v>2004</v>
      </c>
      <c r="AC32" s="8">
        <f t="shared" si="7"/>
        <v>189696</v>
      </c>
    </row>
    <row r="33" spans="1:72" x14ac:dyDescent="0.25">
      <c r="A33" s="1">
        <v>2009</v>
      </c>
      <c r="B33" s="11">
        <f t="shared" si="2"/>
        <v>280.11492196099999</v>
      </c>
      <c r="C33" s="11">
        <f t="shared" si="3"/>
        <v>381.79309555099996</v>
      </c>
      <c r="E33" s="1">
        <v>2009</v>
      </c>
      <c r="F33" s="11">
        <f t="shared" si="4"/>
        <v>130.11492196099999</v>
      </c>
      <c r="G33" s="8">
        <v>2000</v>
      </c>
      <c r="H33" s="11">
        <f t="shared" si="5"/>
        <v>181.79309555099996</v>
      </c>
      <c r="I33" s="8">
        <v>2000</v>
      </c>
      <c r="O33" s="6">
        <v>2005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11129</v>
      </c>
      <c r="W33" s="7">
        <v>0</v>
      </c>
      <c r="X33" s="7">
        <v>0</v>
      </c>
      <c r="Y33" s="7">
        <v>0</v>
      </c>
      <c r="Z33" s="7">
        <v>0</v>
      </c>
      <c r="AA33" s="7">
        <v>30847</v>
      </c>
      <c r="AB33">
        <f t="shared" si="6"/>
        <v>2005</v>
      </c>
      <c r="AC33" s="8">
        <f t="shared" si="7"/>
        <v>19983</v>
      </c>
    </row>
    <row r="34" spans="1:72" x14ac:dyDescent="0.25">
      <c r="A34" s="1">
        <v>2010</v>
      </c>
      <c r="B34" s="11">
        <f t="shared" si="2"/>
        <v>383.23919794</v>
      </c>
      <c r="C34" s="11">
        <f t="shared" si="3"/>
        <v>493.32538957999998</v>
      </c>
      <c r="E34" s="1">
        <v>2010</v>
      </c>
      <c r="F34" s="11">
        <f t="shared" si="4"/>
        <v>233.23919794</v>
      </c>
      <c r="G34" s="8">
        <v>31000</v>
      </c>
      <c r="H34" s="11">
        <f t="shared" si="5"/>
        <v>293.32538957999998</v>
      </c>
      <c r="I34" s="8">
        <v>31000</v>
      </c>
      <c r="O34" s="6">
        <v>2006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>
        <f t="shared" si="6"/>
        <v>2006</v>
      </c>
      <c r="AC34" s="8">
        <f t="shared" si="7"/>
        <v>30847</v>
      </c>
    </row>
    <row r="35" spans="1:72" x14ac:dyDescent="0.25">
      <c r="A35" s="1">
        <v>2011</v>
      </c>
      <c r="B35" s="11">
        <f t="shared" si="2"/>
        <v>180.57550116000002</v>
      </c>
      <c r="C35" s="11">
        <f t="shared" si="3"/>
        <v>375.42783961999999</v>
      </c>
      <c r="E35" s="1">
        <v>2011</v>
      </c>
      <c r="F35" s="11">
        <f t="shared" si="4"/>
        <v>30.575501160000016</v>
      </c>
      <c r="G35" s="8">
        <v>30000</v>
      </c>
      <c r="H35" s="11">
        <f t="shared" si="5"/>
        <v>175.42783961999999</v>
      </c>
      <c r="I35" s="8">
        <v>30000</v>
      </c>
      <c r="O35" s="6">
        <v>2007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107733</v>
      </c>
      <c r="AB35">
        <f t="shared" si="6"/>
        <v>2007</v>
      </c>
      <c r="AC35" s="8">
        <f t="shared" si="7"/>
        <v>0</v>
      </c>
    </row>
    <row r="36" spans="1:72" x14ac:dyDescent="0.25">
      <c r="A36" s="1">
        <v>2012</v>
      </c>
      <c r="B36" s="11">
        <f t="shared" si="2"/>
        <v>401.96414289999996</v>
      </c>
      <c r="C36" s="11">
        <f t="shared" si="3"/>
        <v>644.68062399999997</v>
      </c>
      <c r="E36" s="1">
        <v>2012</v>
      </c>
      <c r="F36" s="11">
        <f t="shared" si="4"/>
        <v>251.96414289999996</v>
      </c>
      <c r="G36" s="8">
        <v>30965</v>
      </c>
      <c r="H36" s="11">
        <f t="shared" si="5"/>
        <v>444.68062399999997</v>
      </c>
      <c r="I36" s="8">
        <v>30965</v>
      </c>
      <c r="O36" s="6">
        <v>2008</v>
      </c>
      <c r="P36" s="7">
        <v>75696</v>
      </c>
      <c r="Q36" s="7">
        <v>64613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>
        <f t="shared" si="6"/>
        <v>2008</v>
      </c>
      <c r="AC36" s="8">
        <f t="shared" si="7"/>
        <v>248042</v>
      </c>
    </row>
    <row r="37" spans="1:72" x14ac:dyDescent="0.25">
      <c r="A37" s="1">
        <v>2013</v>
      </c>
      <c r="B37" s="11">
        <f t="shared" si="2"/>
        <v>193.812472114</v>
      </c>
      <c r="C37" s="11">
        <f t="shared" si="3"/>
        <v>246.028953194</v>
      </c>
      <c r="E37" s="1">
        <v>2013</v>
      </c>
      <c r="F37" s="11">
        <f t="shared" si="4"/>
        <v>43.812472114000002</v>
      </c>
      <c r="G37" s="8">
        <v>28300</v>
      </c>
      <c r="H37" s="11">
        <f t="shared" si="5"/>
        <v>46.028953193999996</v>
      </c>
      <c r="I37" s="8">
        <v>28300</v>
      </c>
      <c r="O37" s="6">
        <v>2009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>
        <f t="shared" si="6"/>
        <v>2009</v>
      </c>
      <c r="AC37" s="8">
        <f t="shared" si="7"/>
        <v>0</v>
      </c>
    </row>
    <row r="38" spans="1:72" x14ac:dyDescent="0.25">
      <c r="O38" s="6">
        <v>2010</v>
      </c>
      <c r="P38" s="7">
        <v>0</v>
      </c>
      <c r="Q38" s="7">
        <v>144837</v>
      </c>
      <c r="R38" s="7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12507</v>
      </c>
      <c r="Y38" s="7">
        <v>77872</v>
      </c>
      <c r="Z38" s="7">
        <v>11561</v>
      </c>
      <c r="AA38" s="7">
        <v>111097</v>
      </c>
      <c r="AB38">
        <f t="shared" si="6"/>
        <v>2010</v>
      </c>
      <c r="AC38" s="8">
        <f t="shared" si="7"/>
        <v>235216</v>
      </c>
    </row>
    <row r="39" spans="1:72" x14ac:dyDescent="0.25">
      <c r="O39" s="6">
        <v>2011</v>
      </c>
      <c r="P39" s="7">
        <v>59575</v>
      </c>
      <c r="Q39" s="7">
        <v>39126</v>
      </c>
      <c r="R39" s="7">
        <v>33017</v>
      </c>
      <c r="S39" s="7">
        <v>15265</v>
      </c>
      <c r="T39" s="7">
        <v>183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141741</v>
      </c>
      <c r="AB39">
        <f t="shared" si="6"/>
        <v>2011</v>
      </c>
      <c r="AC39" s="8">
        <f t="shared" si="7"/>
        <v>269824</v>
      </c>
    </row>
    <row r="40" spans="1:72" x14ac:dyDescent="0.25">
      <c r="E40" s="1"/>
      <c r="F40" s="11"/>
      <c r="G40" s="8"/>
      <c r="O40" s="6">
        <v>2012</v>
      </c>
      <c r="P40" s="7">
        <v>17688</v>
      </c>
      <c r="Q40" s="7">
        <v>58275</v>
      </c>
      <c r="R40" s="7">
        <v>5700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>
        <f t="shared" si="6"/>
        <v>2012</v>
      </c>
      <c r="AC40" s="8">
        <f t="shared" si="7"/>
        <v>223404</v>
      </c>
      <c r="AE40" t="s">
        <v>87</v>
      </c>
      <c r="AO40" t="s">
        <v>95</v>
      </c>
      <c r="BN40" t="s">
        <v>593</v>
      </c>
    </row>
    <row r="41" spans="1:72" x14ac:dyDescent="0.25">
      <c r="B41" s="11"/>
      <c r="D41" s="20"/>
      <c r="E41" s="1"/>
      <c r="F41" s="11"/>
      <c r="G41" s="21"/>
      <c r="O41" s="6">
        <v>2013</v>
      </c>
      <c r="P41" s="7">
        <v>0</v>
      </c>
      <c r="Q41" s="7">
        <v>149378</v>
      </c>
      <c r="R41" s="7">
        <v>93777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>
        <f t="shared" si="6"/>
        <v>2013</v>
      </c>
      <c r="AC41" s="8">
        <f t="shared" si="7"/>
        <v>243155</v>
      </c>
      <c r="AE41" t="s">
        <v>88</v>
      </c>
      <c r="AF41" t="s">
        <v>89</v>
      </c>
      <c r="AG41" t="s">
        <v>605</v>
      </c>
      <c r="AH41" t="s">
        <v>91</v>
      </c>
      <c r="AI41" t="s">
        <v>72</v>
      </c>
      <c r="AJ41" t="s">
        <v>607</v>
      </c>
      <c r="AK41" t="s">
        <v>69</v>
      </c>
      <c r="AL41" t="s">
        <v>74</v>
      </c>
      <c r="AO41" t="s">
        <v>88</v>
      </c>
      <c r="AP41" t="s">
        <v>89</v>
      </c>
      <c r="AQ41" t="s">
        <v>90</v>
      </c>
      <c r="AR41" t="s">
        <v>69</v>
      </c>
      <c r="AS41" t="s">
        <v>96</v>
      </c>
      <c r="AU41" t="s">
        <v>88</v>
      </c>
      <c r="AV41" t="s">
        <v>98</v>
      </c>
      <c r="AW41" t="s">
        <v>69</v>
      </c>
      <c r="AX41" t="s">
        <v>74</v>
      </c>
      <c r="AZ41" t="s">
        <v>88</v>
      </c>
      <c r="BA41" t="s">
        <v>69</v>
      </c>
      <c r="BB41" t="s">
        <v>73</v>
      </c>
      <c r="BC41" t="s">
        <v>96</v>
      </c>
      <c r="BD41" t="s">
        <v>585</v>
      </c>
      <c r="BE41" t="s">
        <v>179</v>
      </c>
      <c r="BN41" t="s">
        <v>584</v>
      </c>
      <c r="BO41" t="s">
        <v>583</v>
      </c>
      <c r="BP41" t="s">
        <v>582</v>
      </c>
      <c r="BQ41" t="s">
        <v>592</v>
      </c>
      <c r="BR41" t="s">
        <v>580</v>
      </c>
      <c r="BS41" t="s">
        <v>579</v>
      </c>
      <c r="BT41" t="s">
        <v>74</v>
      </c>
    </row>
    <row r="42" spans="1:72" x14ac:dyDescent="0.25">
      <c r="A42" s="1"/>
      <c r="B42" s="11"/>
      <c r="D42" s="20"/>
      <c r="E42" s="1"/>
      <c r="F42" s="11"/>
      <c r="G42" s="21"/>
      <c r="O42" s="6">
        <v>2014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/>
      <c r="W42" s="7"/>
      <c r="X42" s="7"/>
      <c r="Y42" s="7"/>
      <c r="Z42" s="7"/>
      <c r="AA42" s="7"/>
      <c r="AE42">
        <v>1999</v>
      </c>
      <c r="AF42" s="8">
        <f t="shared" ref="AF42:AF56" si="8">AC6</f>
        <v>81049</v>
      </c>
      <c r="AG42" s="8">
        <f>AC27+AF42</f>
        <v>274601</v>
      </c>
      <c r="AH42" s="8">
        <f t="shared" ref="AH42:AH56" si="9">AF14</f>
        <v>18000</v>
      </c>
      <c r="AI42" s="8">
        <f t="shared" ref="AI42:AI56" si="10">AV68</f>
        <v>255582.1536924</v>
      </c>
      <c r="AJ42">
        <v>0</v>
      </c>
      <c r="AK42" s="8">
        <f>AF15</f>
        <v>20000</v>
      </c>
      <c r="AL42" s="8">
        <f>($AH$58*AG42)+($AG$58*AH42)+($AF$58*AI42)+($AE$58*AJ42)</f>
        <v>22743.984900842916</v>
      </c>
      <c r="AO42">
        <v>1999</v>
      </c>
      <c r="AP42" s="8">
        <f t="shared" ref="AP42:AP55" si="11">Z6+AA6+P7+Q7+R7</f>
        <v>56932</v>
      </c>
      <c r="AQ42" s="8">
        <f t="shared" ref="AQ42:AQ55" si="12">AG42</f>
        <v>274601</v>
      </c>
      <c r="AR42" s="8">
        <f>AK42</f>
        <v>20000</v>
      </c>
      <c r="AS42" s="8">
        <f t="shared" ref="AS42:AS55" si="13">AG15</f>
        <v>168000</v>
      </c>
      <c r="AT42" s="17"/>
      <c r="AU42" s="11">
        <f t="shared" ref="AU42:AU55" si="14">AO42</f>
        <v>1999</v>
      </c>
      <c r="AV42" s="8">
        <f t="shared" ref="AV42:AV55" si="15">AP42+AQ42</f>
        <v>331533</v>
      </c>
      <c r="AW42" s="8">
        <f t="shared" ref="AW42:AW55" si="16">AR42</f>
        <v>20000</v>
      </c>
      <c r="AX42" s="8">
        <f t="shared" ref="AX42:AX55" si="17">($AW$58*AV42)+($AV$58*AW42)</f>
        <v>190022.62408156254</v>
      </c>
      <c r="AZ42" s="11">
        <f t="shared" ref="AZ42:AZ56" si="18">AE42</f>
        <v>1999</v>
      </c>
      <c r="BA42" s="8">
        <f>AK42</f>
        <v>20000</v>
      </c>
      <c r="BB42" s="11">
        <f t="shared" ref="BB42:BB56" si="19">(L5+M5)-150</f>
        <v>-3.9556793600000049</v>
      </c>
      <c r="BC42" s="8">
        <f t="shared" ref="BC42:BC56" si="20">AG15</f>
        <v>168000</v>
      </c>
      <c r="BD42" s="8">
        <f t="shared" ref="BD42:BD56" si="21">($BB$58*BA42)+($BA$58*BB42)</f>
        <v>186706.25006923155</v>
      </c>
      <c r="BE42" s="20">
        <f t="shared" ref="BE42:BE56" si="22">BC42/BA42</f>
        <v>8.4</v>
      </c>
      <c r="BN42" s="17">
        <f t="shared" ref="BN42:BN56" si="23">(P28+Q28+R28)/30000</f>
        <v>1.5920666666666667</v>
      </c>
      <c r="BO42" s="17">
        <f t="shared" ref="BO42:BO56" si="24">(P49+Q49+R49)/30000</f>
        <v>0</v>
      </c>
      <c r="BP42" s="17">
        <f t="shared" ref="BP42:BP56" si="25">((B6+C6)/100)</f>
        <v>1.1538975493999999</v>
      </c>
      <c r="BQ42" s="15">
        <f t="shared" ref="BQ42:BQ56" si="26">SUM(BN42:BP42)</f>
        <v>2.7459642160666666</v>
      </c>
      <c r="BR42" s="8">
        <f t="shared" ref="BR42:BR56" si="27">BA42</f>
        <v>20000</v>
      </c>
      <c r="BS42" s="8">
        <f t="shared" ref="BS42:BS56" si="28">BC42</f>
        <v>168000</v>
      </c>
      <c r="BT42" s="8">
        <f t="shared" ref="BT42:BT56" si="29">$BR$58+($BQ$58*BQ42)+($BP$58*BR42)</f>
        <v>183244.33611212391</v>
      </c>
    </row>
    <row r="43" spans="1:72" x14ac:dyDescent="0.25">
      <c r="A43" s="1"/>
      <c r="B43" s="11"/>
      <c r="D43" s="20"/>
      <c r="E43" s="1"/>
      <c r="F43" s="11"/>
      <c r="G43" s="21"/>
      <c r="AE43">
        <v>2000</v>
      </c>
      <c r="AF43" s="8">
        <f t="shared" si="8"/>
        <v>81049</v>
      </c>
      <c r="AG43" s="8">
        <f t="shared" ref="AG43:AG56" si="30">AC28+AF43</f>
        <v>128811</v>
      </c>
      <c r="AH43" s="8">
        <f t="shared" si="9"/>
        <v>20000</v>
      </c>
      <c r="AI43" s="8">
        <f t="shared" si="10"/>
        <v>328675.16926839994</v>
      </c>
      <c r="AJ43">
        <v>0</v>
      </c>
      <c r="AK43" s="8">
        <f>AF16</f>
        <v>22667</v>
      </c>
      <c r="AL43" s="8">
        <f t="shared" ref="AL43:AL56" si="31">($AH$58*AG43)+($AG$58*AH43)+($AF$58*AI43)+($AE$58*AJ43)</f>
        <v>19237.66137154627</v>
      </c>
      <c r="AO43">
        <v>2000</v>
      </c>
      <c r="AP43" s="8">
        <f t="shared" si="11"/>
        <v>56932</v>
      </c>
      <c r="AQ43" s="8">
        <f t="shared" si="12"/>
        <v>128811</v>
      </c>
      <c r="AR43" s="8">
        <f>AK43</f>
        <v>22667</v>
      </c>
      <c r="AS43" s="8">
        <f t="shared" si="13"/>
        <v>172267</v>
      </c>
      <c r="AT43" s="17"/>
      <c r="AU43" s="11">
        <f t="shared" si="14"/>
        <v>2000</v>
      </c>
      <c r="AV43" s="8">
        <f t="shared" si="15"/>
        <v>185743</v>
      </c>
      <c r="AW43" s="8">
        <f t="shared" si="16"/>
        <v>22667</v>
      </c>
      <c r="AX43" s="8">
        <f t="shared" si="17"/>
        <v>202118.37389699821</v>
      </c>
      <c r="AZ43" s="11">
        <f t="shared" si="18"/>
        <v>2000</v>
      </c>
      <c r="BA43" s="8">
        <f>AK43</f>
        <v>22667</v>
      </c>
      <c r="BB43" s="11">
        <f t="shared" si="19"/>
        <v>4.5561248579999756</v>
      </c>
      <c r="BC43" s="8">
        <f t="shared" si="20"/>
        <v>172267</v>
      </c>
      <c r="BD43" s="8">
        <f t="shared" si="21"/>
        <v>212410.45798952517</v>
      </c>
      <c r="BE43" s="20">
        <f t="shared" si="22"/>
        <v>7.5999029426037854</v>
      </c>
      <c r="BN43" s="17">
        <f t="shared" si="23"/>
        <v>1.3166666666666667E-2</v>
      </c>
      <c r="BO43" s="17">
        <f t="shared" si="24"/>
        <v>0</v>
      </c>
      <c r="BP43" s="17">
        <f t="shared" si="25"/>
        <v>1.0778129164000001</v>
      </c>
      <c r="BQ43" s="15">
        <f t="shared" si="26"/>
        <v>1.0909795830666669</v>
      </c>
      <c r="BR43" s="8">
        <f t="shared" si="27"/>
        <v>22667</v>
      </c>
      <c r="BS43" s="8">
        <f t="shared" si="28"/>
        <v>172267</v>
      </c>
      <c r="BT43" s="8">
        <f t="shared" si="29"/>
        <v>206447.59561844895</v>
      </c>
    </row>
    <row r="44" spans="1:72" x14ac:dyDescent="0.25">
      <c r="A44" s="1"/>
      <c r="B44" s="11"/>
      <c r="D44" s="20"/>
      <c r="E44" s="1"/>
      <c r="F44" s="11"/>
      <c r="G44" s="21"/>
      <c r="O44" s="1" t="s">
        <v>19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E44">
        <v>2001</v>
      </c>
      <c r="AF44" s="8">
        <f t="shared" si="8"/>
        <v>20122</v>
      </c>
      <c r="AG44" s="8">
        <f t="shared" si="30"/>
        <v>102840</v>
      </c>
      <c r="AH44" s="8">
        <f t="shared" si="9"/>
        <v>22667</v>
      </c>
      <c r="AI44" s="8">
        <f t="shared" si="10"/>
        <v>218239.72003888359</v>
      </c>
      <c r="AJ44">
        <v>0</v>
      </c>
      <c r="AK44" s="8">
        <f>AF17</f>
        <v>15000</v>
      </c>
      <c r="AL44" s="8">
        <f t="shared" si="31"/>
        <v>16376.304316223914</v>
      </c>
      <c r="AO44">
        <v>2001</v>
      </c>
      <c r="AP44" s="8">
        <f t="shared" si="11"/>
        <v>0</v>
      </c>
      <c r="AQ44" s="8">
        <f t="shared" si="12"/>
        <v>102840</v>
      </c>
      <c r="AR44" s="8">
        <f>AK44</f>
        <v>15000</v>
      </c>
      <c r="AS44" s="8">
        <f t="shared" si="13"/>
        <v>114000</v>
      </c>
      <c r="AT44" s="17"/>
      <c r="AU44" s="11">
        <f t="shared" si="14"/>
        <v>2001</v>
      </c>
      <c r="AV44" s="8">
        <f t="shared" si="15"/>
        <v>102840</v>
      </c>
      <c r="AW44" s="8">
        <f t="shared" si="16"/>
        <v>15000</v>
      </c>
      <c r="AX44" s="8">
        <f t="shared" si="17"/>
        <v>132353.43581150964</v>
      </c>
      <c r="AZ44" s="11">
        <f t="shared" si="18"/>
        <v>2001</v>
      </c>
      <c r="BA44" s="8">
        <f>AK44</f>
        <v>15000</v>
      </c>
      <c r="BB44" s="11">
        <f t="shared" si="19"/>
        <v>-88.19020033999999</v>
      </c>
      <c r="BC44" s="8">
        <f t="shared" si="20"/>
        <v>114000</v>
      </c>
      <c r="BD44" s="8">
        <f t="shared" si="21"/>
        <v>132421.86931141396</v>
      </c>
      <c r="BE44" s="20">
        <f t="shared" si="22"/>
        <v>7.6</v>
      </c>
      <c r="BN44" s="17">
        <f t="shared" si="23"/>
        <v>0</v>
      </c>
      <c r="BO44" s="17">
        <f t="shared" si="24"/>
        <v>0</v>
      </c>
      <c r="BP44" s="17">
        <f t="shared" si="25"/>
        <v>0.9225211593</v>
      </c>
      <c r="BQ44" s="15">
        <f t="shared" si="26"/>
        <v>0.9225211593</v>
      </c>
      <c r="BR44" s="8">
        <f t="shared" si="27"/>
        <v>15000</v>
      </c>
      <c r="BS44" s="8">
        <f t="shared" si="28"/>
        <v>114000</v>
      </c>
      <c r="BT44" s="8">
        <f t="shared" si="29"/>
        <v>130322.9132051762</v>
      </c>
    </row>
    <row r="45" spans="1:72" x14ac:dyDescent="0.25">
      <c r="A45" s="1"/>
      <c r="B45" s="11"/>
      <c r="D45" s="20"/>
      <c r="E45" s="1"/>
      <c r="F45" s="11"/>
      <c r="G45" s="21"/>
      <c r="O45" s="1"/>
      <c r="P45" s="5" t="s">
        <v>1</v>
      </c>
      <c r="Q45" s="5" t="s">
        <v>2</v>
      </c>
      <c r="R45" s="5" t="s">
        <v>3</v>
      </c>
      <c r="S45" s="5" t="s">
        <v>4</v>
      </c>
      <c r="T45" s="5" t="s">
        <v>5</v>
      </c>
      <c r="U45" s="5" t="s">
        <v>6</v>
      </c>
      <c r="V45" s="5" t="s">
        <v>7</v>
      </c>
      <c r="W45" s="5" t="s">
        <v>8</v>
      </c>
      <c r="X45" s="5" t="s">
        <v>9</v>
      </c>
      <c r="Y45" s="5" t="s">
        <v>10</v>
      </c>
      <c r="Z45" s="5" t="s">
        <v>11</v>
      </c>
      <c r="AA45" s="5" t="s">
        <v>12</v>
      </c>
      <c r="AE45">
        <v>2002</v>
      </c>
      <c r="AF45" s="8">
        <f t="shared" si="8"/>
        <v>96271</v>
      </c>
      <c r="AG45" s="8">
        <f t="shared" si="30"/>
        <v>96271</v>
      </c>
      <c r="AH45" s="8">
        <f t="shared" si="9"/>
        <v>15000</v>
      </c>
      <c r="AI45" s="8">
        <f t="shared" si="10"/>
        <v>144549.67775338361</v>
      </c>
      <c r="AJ45">
        <v>1</v>
      </c>
      <c r="AK45" s="8">
        <f>AF18</f>
        <v>4500</v>
      </c>
      <c r="AL45" s="8">
        <f t="shared" si="31"/>
        <v>5061.2654344748771</v>
      </c>
      <c r="AO45">
        <v>2002</v>
      </c>
      <c r="AP45" s="8">
        <f t="shared" si="11"/>
        <v>68317</v>
      </c>
      <c r="AQ45" s="8">
        <f t="shared" si="12"/>
        <v>96271</v>
      </c>
      <c r="AR45" s="8">
        <f>AK45</f>
        <v>4500</v>
      </c>
      <c r="AS45" s="8">
        <f t="shared" si="13"/>
        <v>25000</v>
      </c>
      <c r="AT45" s="17"/>
      <c r="AU45" s="11">
        <f t="shared" si="14"/>
        <v>2002</v>
      </c>
      <c r="AV45" s="8">
        <f t="shared" si="15"/>
        <v>164588</v>
      </c>
      <c r="AW45" s="8">
        <f t="shared" si="16"/>
        <v>4500</v>
      </c>
      <c r="AX45" s="8">
        <f t="shared" si="17"/>
        <v>49027.97354179684</v>
      </c>
      <c r="AZ45" s="11">
        <f t="shared" si="18"/>
        <v>2002</v>
      </c>
      <c r="BA45" s="8">
        <f>AK45</f>
        <v>4500</v>
      </c>
      <c r="BB45" s="11">
        <f t="shared" si="19"/>
        <v>-100.492204895</v>
      </c>
      <c r="BC45" s="8">
        <f t="shared" si="20"/>
        <v>25000</v>
      </c>
      <c r="BD45" s="8">
        <f t="shared" si="21"/>
        <v>33117.511457049819</v>
      </c>
      <c r="BE45" s="20">
        <f t="shared" si="22"/>
        <v>5.5555555555555554</v>
      </c>
      <c r="BN45" s="17">
        <f t="shared" si="23"/>
        <v>0</v>
      </c>
      <c r="BO45" s="17">
        <f t="shared" si="24"/>
        <v>0</v>
      </c>
      <c r="BP45" s="17">
        <f t="shared" si="25"/>
        <v>0.68953229398999993</v>
      </c>
      <c r="BQ45" s="15">
        <f t="shared" si="26"/>
        <v>0.68953229398999993</v>
      </c>
      <c r="BR45" s="8">
        <f t="shared" si="27"/>
        <v>4500</v>
      </c>
      <c r="BS45" s="8">
        <f t="shared" si="28"/>
        <v>25000</v>
      </c>
      <c r="BT45" s="8">
        <f t="shared" si="29"/>
        <v>26065.360635459288</v>
      </c>
    </row>
    <row r="46" spans="1:72" x14ac:dyDescent="0.25">
      <c r="A46" s="1"/>
      <c r="B46" s="11"/>
      <c r="D46" s="20"/>
      <c r="E46" s="1"/>
      <c r="F46" s="11"/>
      <c r="G46" s="21"/>
      <c r="O46" s="1">
        <v>1997</v>
      </c>
      <c r="P46" s="5">
        <v>0</v>
      </c>
      <c r="Q46" s="5">
        <v>2850</v>
      </c>
      <c r="R46" s="5">
        <v>1900</v>
      </c>
      <c r="S46" s="5">
        <v>0</v>
      </c>
      <c r="T46" s="5">
        <v>3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E46">
        <v>2003</v>
      </c>
      <c r="AF46" s="8">
        <f t="shared" si="8"/>
        <v>81321</v>
      </c>
      <c r="AG46" s="8">
        <f t="shared" si="30"/>
        <v>98345</v>
      </c>
      <c r="AH46" s="8">
        <f t="shared" si="9"/>
        <v>4500</v>
      </c>
      <c r="AI46" s="8">
        <f t="shared" si="10"/>
        <v>173516.51294306363</v>
      </c>
      <c r="AJ46">
        <v>0</v>
      </c>
      <c r="AK46" s="8">
        <f>AF19</f>
        <v>11700</v>
      </c>
      <c r="AL46" s="8">
        <f t="shared" si="31"/>
        <v>9503.3056120314413</v>
      </c>
      <c r="AO46">
        <v>2003</v>
      </c>
      <c r="AP46" s="8">
        <f t="shared" si="11"/>
        <v>56932</v>
      </c>
      <c r="AQ46" s="8">
        <f t="shared" si="12"/>
        <v>98345</v>
      </c>
      <c r="AR46" s="8">
        <f>AK46</f>
        <v>11700</v>
      </c>
      <c r="AS46" s="8">
        <f t="shared" si="13"/>
        <v>98000</v>
      </c>
      <c r="AT46" s="17"/>
      <c r="AU46" s="11">
        <f t="shared" si="14"/>
        <v>2003</v>
      </c>
      <c r="AV46" s="8">
        <f t="shared" si="15"/>
        <v>155277</v>
      </c>
      <c r="AW46" s="8">
        <f t="shared" si="16"/>
        <v>11700</v>
      </c>
      <c r="AX46" s="8">
        <f t="shared" si="17"/>
        <v>108467.79249758789</v>
      </c>
      <c r="AZ46" s="11">
        <f t="shared" si="18"/>
        <v>2003</v>
      </c>
      <c r="BA46" s="8">
        <f>AK46</f>
        <v>11700</v>
      </c>
      <c r="BB46" s="11">
        <f t="shared" si="19"/>
        <v>-58.531403060000002</v>
      </c>
      <c r="BC46" s="8">
        <f t="shared" si="20"/>
        <v>98000</v>
      </c>
      <c r="BD46" s="8">
        <f t="shared" si="21"/>
        <v>104204.68684925274</v>
      </c>
      <c r="BE46" s="20">
        <f t="shared" si="22"/>
        <v>8.3760683760683765</v>
      </c>
      <c r="BN46" s="17">
        <f t="shared" si="23"/>
        <v>5.9053333333333331</v>
      </c>
      <c r="BO46" s="17">
        <f t="shared" si="24"/>
        <v>0.47926666666666667</v>
      </c>
      <c r="BP46" s="17">
        <f t="shared" si="25"/>
        <v>2.0420935425</v>
      </c>
      <c r="BQ46" s="15">
        <f t="shared" si="26"/>
        <v>8.4266935425000007</v>
      </c>
      <c r="BR46" s="8">
        <f t="shared" si="27"/>
        <v>11700</v>
      </c>
      <c r="BS46" s="8">
        <f t="shared" si="28"/>
        <v>98000</v>
      </c>
      <c r="BT46" s="8">
        <f t="shared" si="29"/>
        <v>112047.23329423499</v>
      </c>
    </row>
    <row r="47" spans="1:72" x14ac:dyDescent="0.25">
      <c r="A47" s="1"/>
      <c r="B47" s="11"/>
      <c r="D47" s="20"/>
      <c r="E47" s="1"/>
      <c r="F47" s="11"/>
      <c r="G47" s="21"/>
      <c r="O47" s="1">
        <v>1998</v>
      </c>
      <c r="P47" s="7">
        <v>0</v>
      </c>
      <c r="Q47" s="7">
        <v>1425</v>
      </c>
      <c r="R47" s="7">
        <v>0</v>
      </c>
      <c r="S47" s="7">
        <v>0</v>
      </c>
      <c r="T47" s="7">
        <v>6</v>
      </c>
      <c r="U47" s="7">
        <v>0</v>
      </c>
      <c r="V47" s="7">
        <v>9</v>
      </c>
      <c r="W47" s="7">
        <v>6</v>
      </c>
      <c r="X47" s="7">
        <v>38676</v>
      </c>
      <c r="Y47" s="7">
        <v>397</v>
      </c>
      <c r="Z47" s="7">
        <v>0</v>
      </c>
      <c r="AA47" s="7">
        <v>0</v>
      </c>
      <c r="AB47">
        <f t="shared" ref="AB47:AB62" si="32">O47</f>
        <v>1998</v>
      </c>
      <c r="AC47" s="8">
        <f t="shared" ref="AC47:AC62" si="33">Z46+AA46+SUM(P47:Y47)</f>
        <v>40519</v>
      </c>
      <c r="AE47">
        <v>2004</v>
      </c>
      <c r="AF47" s="8">
        <f t="shared" si="8"/>
        <v>81049</v>
      </c>
      <c r="AG47" s="8">
        <f t="shared" si="30"/>
        <v>270745</v>
      </c>
      <c r="AH47" s="8">
        <f t="shared" si="9"/>
        <v>11700</v>
      </c>
      <c r="AI47" s="8">
        <f t="shared" si="10"/>
        <v>123396.65974177362</v>
      </c>
      <c r="AJ47">
        <v>0</v>
      </c>
      <c r="AK47" s="8">
        <f>AF20</f>
        <v>20000</v>
      </c>
      <c r="AL47" s="8">
        <f t="shared" si="31"/>
        <v>17478.225029537436</v>
      </c>
      <c r="AO47">
        <v>2004</v>
      </c>
      <c r="AP47" s="8">
        <f t="shared" si="11"/>
        <v>56932</v>
      </c>
      <c r="AQ47" s="8">
        <f t="shared" si="12"/>
        <v>270745</v>
      </c>
      <c r="AR47" s="8">
        <f>AK47</f>
        <v>20000</v>
      </c>
      <c r="AS47" s="8">
        <f t="shared" si="13"/>
        <v>204000</v>
      </c>
      <c r="AT47" s="17"/>
      <c r="AU47" s="11">
        <f t="shared" si="14"/>
        <v>2004</v>
      </c>
      <c r="AV47" s="8">
        <f t="shared" si="15"/>
        <v>327677</v>
      </c>
      <c r="AW47" s="8">
        <f t="shared" si="16"/>
        <v>20000</v>
      </c>
      <c r="AX47" s="8">
        <f t="shared" si="17"/>
        <v>189753.84520803249</v>
      </c>
      <c r="AZ47" s="11">
        <f t="shared" si="18"/>
        <v>2004</v>
      </c>
      <c r="BA47" s="8">
        <f>AK47</f>
        <v>20000</v>
      </c>
      <c r="BB47" s="11">
        <f t="shared" si="19"/>
        <v>64.129175990000022</v>
      </c>
      <c r="BC47" s="8">
        <f t="shared" si="20"/>
        <v>204000</v>
      </c>
      <c r="BD47" s="8">
        <f t="shared" si="21"/>
        <v>192784.12253542559</v>
      </c>
      <c r="BE47" s="20">
        <f t="shared" si="22"/>
        <v>10.199999999999999</v>
      </c>
      <c r="BN47" s="17">
        <f t="shared" si="23"/>
        <v>0</v>
      </c>
      <c r="BO47" s="17">
        <f t="shared" si="24"/>
        <v>0</v>
      </c>
      <c r="BP47" s="17">
        <f t="shared" si="25"/>
        <v>0.62429844099999998</v>
      </c>
      <c r="BQ47" s="15">
        <f t="shared" si="26"/>
        <v>0.62429844099999998</v>
      </c>
      <c r="BR47" s="8">
        <f t="shared" si="27"/>
        <v>20000</v>
      </c>
      <c r="BS47" s="8">
        <f t="shared" si="28"/>
        <v>204000</v>
      </c>
      <c r="BT47" s="8">
        <f t="shared" si="29"/>
        <v>179186.87240289562</v>
      </c>
    </row>
    <row r="48" spans="1:72" x14ac:dyDescent="0.25">
      <c r="A48" s="1"/>
      <c r="B48" s="11"/>
      <c r="D48" s="20"/>
      <c r="E48" s="1"/>
      <c r="F48" s="11"/>
      <c r="G48" s="21"/>
      <c r="O48" s="6">
        <v>1999</v>
      </c>
      <c r="P48" s="7">
        <v>0</v>
      </c>
      <c r="Q48" s="7">
        <v>0</v>
      </c>
      <c r="R48" s="7">
        <v>3800</v>
      </c>
      <c r="S48" s="7">
        <v>0</v>
      </c>
      <c r="T48" s="7">
        <v>0</v>
      </c>
      <c r="U48" s="7">
        <v>15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>
        <f t="shared" si="32"/>
        <v>1999</v>
      </c>
      <c r="AC48" s="8">
        <f t="shared" si="33"/>
        <v>3815</v>
      </c>
      <c r="AE48">
        <v>2005</v>
      </c>
      <c r="AF48" s="8">
        <f t="shared" si="8"/>
        <v>38123</v>
      </c>
      <c r="AG48" s="8">
        <f t="shared" si="30"/>
        <v>58106</v>
      </c>
      <c r="AH48" s="8">
        <f t="shared" si="9"/>
        <v>20000</v>
      </c>
      <c r="AI48" s="8">
        <f t="shared" si="10"/>
        <v>136548.16754577361</v>
      </c>
      <c r="AJ48">
        <v>0</v>
      </c>
      <c r="AK48" s="8">
        <f>AF21</f>
        <v>17700</v>
      </c>
      <c r="AL48" s="8">
        <f t="shared" si="31"/>
        <v>11795.540219303062</v>
      </c>
      <c r="AO48">
        <v>2005</v>
      </c>
      <c r="AP48" s="8">
        <f t="shared" si="11"/>
        <v>14006</v>
      </c>
      <c r="AQ48" s="8">
        <f t="shared" si="12"/>
        <v>58106</v>
      </c>
      <c r="AR48" s="8">
        <f>AK48</f>
        <v>17700</v>
      </c>
      <c r="AS48" s="8">
        <f t="shared" si="13"/>
        <v>145500</v>
      </c>
      <c r="AT48" s="17"/>
      <c r="AU48" s="11">
        <f t="shared" si="14"/>
        <v>2005</v>
      </c>
      <c r="AV48" s="8">
        <f t="shared" si="15"/>
        <v>72112</v>
      </c>
      <c r="AW48" s="8">
        <f t="shared" si="16"/>
        <v>17700</v>
      </c>
      <c r="AX48" s="8">
        <f t="shared" si="17"/>
        <v>152744.88187440694</v>
      </c>
      <c r="AZ48" s="11">
        <f t="shared" si="18"/>
        <v>2005</v>
      </c>
      <c r="BA48" s="8">
        <f>AK48</f>
        <v>17700</v>
      </c>
      <c r="BB48" s="11">
        <f t="shared" si="19"/>
        <v>-59.562360900000002</v>
      </c>
      <c r="BC48" s="8">
        <f t="shared" si="20"/>
        <v>145500</v>
      </c>
      <c r="BD48" s="8">
        <f t="shared" si="21"/>
        <v>160230.46516945295</v>
      </c>
      <c r="BE48" s="20">
        <f t="shared" si="22"/>
        <v>8.2203389830508478</v>
      </c>
      <c r="BN48" s="17">
        <f t="shared" si="23"/>
        <v>0</v>
      </c>
      <c r="BO48" s="17">
        <f t="shared" si="24"/>
        <v>0</v>
      </c>
      <c r="BP48" s="17">
        <f t="shared" si="25"/>
        <v>0.76737193729999997</v>
      </c>
      <c r="BQ48" s="15">
        <f t="shared" si="26"/>
        <v>0.76737193729999997</v>
      </c>
      <c r="BR48" s="8">
        <f t="shared" si="27"/>
        <v>17700</v>
      </c>
      <c r="BS48" s="8">
        <f t="shared" si="28"/>
        <v>145500</v>
      </c>
      <c r="BT48" s="8">
        <f t="shared" si="29"/>
        <v>156720.71718054821</v>
      </c>
    </row>
    <row r="49" spans="1:72" x14ac:dyDescent="0.25">
      <c r="A49" s="1"/>
      <c r="B49" s="11"/>
      <c r="D49" s="20"/>
      <c r="E49" s="1"/>
      <c r="F49" s="11"/>
      <c r="G49" s="21"/>
      <c r="O49" s="6">
        <v>2000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36</v>
      </c>
      <c r="AA49" s="7">
        <v>0</v>
      </c>
      <c r="AB49">
        <f t="shared" si="32"/>
        <v>2000</v>
      </c>
      <c r="AC49" s="8">
        <f t="shared" si="33"/>
        <v>0</v>
      </c>
      <c r="AE49">
        <v>2006</v>
      </c>
      <c r="AF49" s="8">
        <f t="shared" si="8"/>
        <v>64707</v>
      </c>
      <c r="AG49" s="8">
        <f t="shared" si="30"/>
        <v>95554</v>
      </c>
      <c r="AH49" s="8">
        <f t="shared" si="9"/>
        <v>17700</v>
      </c>
      <c r="AI49" s="8">
        <f t="shared" si="10"/>
        <v>0</v>
      </c>
      <c r="AJ49">
        <v>1</v>
      </c>
      <c r="AK49" s="8">
        <f>AF22</f>
        <v>3270</v>
      </c>
      <c r="AL49" s="8">
        <f t="shared" si="31"/>
        <v>2411.7659713865578</v>
      </c>
      <c r="AO49">
        <v>2006</v>
      </c>
      <c r="AP49" s="8">
        <f t="shared" si="11"/>
        <v>64315</v>
      </c>
      <c r="AQ49" s="8">
        <f t="shared" si="12"/>
        <v>95554</v>
      </c>
      <c r="AR49" s="8">
        <f>AK49</f>
        <v>3270</v>
      </c>
      <c r="AS49" s="8">
        <f t="shared" si="13"/>
        <v>28000</v>
      </c>
      <c r="AT49" s="17"/>
      <c r="AU49" s="11">
        <f t="shared" si="14"/>
        <v>2006</v>
      </c>
      <c r="AV49" s="8">
        <f t="shared" si="15"/>
        <v>159869</v>
      </c>
      <c r="AW49" s="8">
        <f t="shared" si="16"/>
        <v>3270</v>
      </c>
      <c r="AX49" s="8">
        <f t="shared" si="17"/>
        <v>38433.864337106206</v>
      </c>
      <c r="AZ49" s="11">
        <f t="shared" si="18"/>
        <v>2006</v>
      </c>
      <c r="BA49" s="8">
        <f>AK49</f>
        <v>3270</v>
      </c>
      <c r="BB49" s="11">
        <f t="shared" si="19"/>
        <v>-94.375723859999994</v>
      </c>
      <c r="BC49" s="8">
        <f t="shared" si="20"/>
        <v>28000</v>
      </c>
      <c r="BD49" s="8">
        <f t="shared" si="21"/>
        <v>22159.372847197563</v>
      </c>
      <c r="BE49" s="20">
        <f t="shared" si="22"/>
        <v>8.5626911314984717</v>
      </c>
      <c r="BN49" s="17">
        <f t="shared" si="23"/>
        <v>0</v>
      </c>
      <c r="BO49" s="17">
        <f t="shared" si="24"/>
        <v>0</v>
      </c>
      <c r="BP49" s="17">
        <f t="shared" si="25"/>
        <v>0.97962360920000013</v>
      </c>
      <c r="BQ49" s="15">
        <f t="shared" si="26"/>
        <v>0.97962360920000013</v>
      </c>
      <c r="BR49" s="8">
        <f t="shared" si="27"/>
        <v>3270</v>
      </c>
      <c r="BS49" s="8">
        <f t="shared" si="28"/>
        <v>28000</v>
      </c>
      <c r="BT49" s="8">
        <f t="shared" si="29"/>
        <v>14459.297293686079</v>
      </c>
    </row>
    <row r="50" spans="1:72" x14ac:dyDescent="0.25">
      <c r="A50" s="1"/>
      <c r="B50" s="11"/>
      <c r="D50" s="20"/>
      <c r="E50" s="1"/>
      <c r="F50" s="11"/>
      <c r="G50" s="21"/>
      <c r="H50" s="15"/>
      <c r="O50" s="6">
        <v>2001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3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>
        <f t="shared" si="32"/>
        <v>2001</v>
      </c>
      <c r="AC50" s="8">
        <f t="shared" si="33"/>
        <v>39</v>
      </c>
      <c r="AE50">
        <v>2007</v>
      </c>
      <c r="AF50" s="8">
        <f t="shared" si="8"/>
        <v>92855</v>
      </c>
      <c r="AG50" s="8">
        <f t="shared" si="30"/>
        <v>92855</v>
      </c>
      <c r="AH50" s="8">
        <f t="shared" si="9"/>
        <v>3270</v>
      </c>
      <c r="AI50" s="8">
        <f t="shared" si="10"/>
        <v>47316.584077546002</v>
      </c>
      <c r="AJ50">
        <v>0</v>
      </c>
      <c r="AK50" s="8">
        <f>AF23</f>
        <v>3250</v>
      </c>
      <c r="AL50" s="8">
        <f t="shared" si="31"/>
        <v>5883.971853602392</v>
      </c>
      <c r="AO50">
        <v>2007</v>
      </c>
      <c r="AP50" s="8">
        <f t="shared" si="11"/>
        <v>65493</v>
      </c>
      <c r="AQ50" s="8">
        <f t="shared" si="12"/>
        <v>92855</v>
      </c>
      <c r="AR50" s="8">
        <f>AK50</f>
        <v>3250</v>
      </c>
      <c r="AS50" s="8">
        <f t="shared" si="13"/>
        <v>27000</v>
      </c>
      <c r="AT50" s="17"/>
      <c r="AU50" s="11">
        <f t="shared" si="14"/>
        <v>2007</v>
      </c>
      <c r="AV50" s="8">
        <f t="shared" si="15"/>
        <v>158348</v>
      </c>
      <c r="AW50" s="8">
        <f t="shared" si="16"/>
        <v>3250</v>
      </c>
      <c r="AX50" s="8">
        <f t="shared" si="17"/>
        <v>38160.931028283674</v>
      </c>
      <c r="AZ50" s="11">
        <f t="shared" si="18"/>
        <v>2007</v>
      </c>
      <c r="BA50" s="8">
        <f>AK50</f>
        <v>3250</v>
      </c>
      <c r="BB50" s="11">
        <f t="shared" si="19"/>
        <v>78.407572369999968</v>
      </c>
      <c r="BC50" s="8">
        <f t="shared" si="20"/>
        <v>27000</v>
      </c>
      <c r="BD50" s="8">
        <f t="shared" si="21"/>
        <v>37396.519541539354</v>
      </c>
      <c r="BE50" s="20">
        <f t="shared" si="22"/>
        <v>8.3076923076923084</v>
      </c>
      <c r="BN50" s="17">
        <f t="shared" si="23"/>
        <v>4.6769666666666669</v>
      </c>
      <c r="BO50" s="17">
        <f t="shared" si="24"/>
        <v>0.19</v>
      </c>
      <c r="BP50" s="17">
        <f t="shared" si="25"/>
        <v>1.8438307350000001</v>
      </c>
      <c r="BQ50" s="15">
        <f t="shared" si="26"/>
        <v>6.7107974016666674</v>
      </c>
      <c r="BR50" s="8">
        <f t="shared" si="27"/>
        <v>3250</v>
      </c>
      <c r="BS50" s="8">
        <f t="shared" si="28"/>
        <v>27000</v>
      </c>
      <c r="BT50" s="8">
        <f t="shared" si="29"/>
        <v>25221.830144843065</v>
      </c>
    </row>
    <row r="51" spans="1:72" x14ac:dyDescent="0.25">
      <c r="A51" s="1"/>
      <c r="B51" s="11"/>
      <c r="D51" s="20"/>
      <c r="E51" s="1"/>
      <c r="F51" s="11"/>
      <c r="G51" s="21"/>
      <c r="H51" s="15"/>
      <c r="O51" s="6">
        <v>2002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>
        <f t="shared" si="32"/>
        <v>2002</v>
      </c>
      <c r="AC51" s="8">
        <f t="shared" si="33"/>
        <v>0</v>
      </c>
      <c r="AE51">
        <v>2008</v>
      </c>
      <c r="AF51" s="8">
        <f t="shared" si="8"/>
        <v>65276</v>
      </c>
      <c r="AG51" s="8">
        <f t="shared" si="30"/>
        <v>313318</v>
      </c>
      <c r="AH51" s="8">
        <f t="shared" si="9"/>
        <v>3250</v>
      </c>
      <c r="AI51" s="8">
        <f t="shared" si="10"/>
        <v>100164.952674106</v>
      </c>
      <c r="AJ51">
        <v>1</v>
      </c>
      <c r="AK51" s="8">
        <f>AF24</f>
        <v>8810</v>
      </c>
      <c r="AL51" s="8">
        <f t="shared" si="31"/>
        <v>9106.968594138576</v>
      </c>
      <c r="AO51">
        <v>2008</v>
      </c>
      <c r="AP51" s="8">
        <f t="shared" si="11"/>
        <v>40953</v>
      </c>
      <c r="AQ51" s="8">
        <f t="shared" si="12"/>
        <v>313318</v>
      </c>
      <c r="AR51" s="8">
        <f>AK51</f>
        <v>8810</v>
      </c>
      <c r="AS51" s="8">
        <f t="shared" si="13"/>
        <v>98000</v>
      </c>
      <c r="AT51" s="17"/>
      <c r="AU51" s="11">
        <f t="shared" si="14"/>
        <v>2008</v>
      </c>
      <c r="AV51" s="8">
        <f t="shared" si="15"/>
        <v>354271</v>
      </c>
      <c r="AW51" s="8">
        <f t="shared" si="16"/>
        <v>8810</v>
      </c>
      <c r="AX51" s="8">
        <f t="shared" si="17"/>
        <v>98219.493036789238</v>
      </c>
      <c r="AZ51" s="11">
        <f t="shared" si="18"/>
        <v>2008</v>
      </c>
      <c r="BA51" s="8">
        <f>AK51</f>
        <v>8810</v>
      </c>
      <c r="BB51" s="11">
        <f t="shared" si="19"/>
        <v>-48.32182641</v>
      </c>
      <c r="BC51" s="8">
        <f t="shared" si="20"/>
        <v>98000</v>
      </c>
      <c r="BD51" s="8">
        <f t="shared" si="21"/>
        <v>78086.007419120244</v>
      </c>
      <c r="BE51" s="20">
        <f t="shared" si="22"/>
        <v>11.12372304199773</v>
      </c>
      <c r="BN51" s="17">
        <f t="shared" si="23"/>
        <v>0</v>
      </c>
      <c r="BO51" s="17">
        <f t="shared" si="24"/>
        <v>0</v>
      </c>
      <c r="BP51" s="17">
        <f t="shared" si="25"/>
        <v>1.3634342984000001</v>
      </c>
      <c r="BQ51" s="15">
        <f t="shared" si="26"/>
        <v>1.3634342984000001</v>
      </c>
      <c r="BR51" s="8">
        <f t="shared" si="27"/>
        <v>8810</v>
      </c>
      <c r="BS51" s="8">
        <f t="shared" si="28"/>
        <v>98000</v>
      </c>
      <c r="BT51" s="8">
        <f t="shared" si="29"/>
        <v>69966.476115768251</v>
      </c>
    </row>
    <row r="52" spans="1:72" x14ac:dyDescent="0.25">
      <c r="A52" s="1"/>
      <c r="B52" s="11"/>
      <c r="D52" s="20"/>
      <c r="E52" s="1"/>
      <c r="F52" s="11"/>
      <c r="G52" s="21"/>
      <c r="H52" s="15"/>
      <c r="O52" s="6">
        <v>2003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15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>
        <f t="shared" si="32"/>
        <v>2003</v>
      </c>
      <c r="AC52" s="8">
        <f t="shared" si="33"/>
        <v>15</v>
      </c>
      <c r="AE52">
        <v>2009</v>
      </c>
      <c r="AF52" s="8">
        <f t="shared" si="8"/>
        <v>96387</v>
      </c>
      <c r="AG52" s="8">
        <f t="shared" si="30"/>
        <v>96387</v>
      </c>
      <c r="AH52" s="8">
        <f t="shared" si="9"/>
        <v>8810</v>
      </c>
      <c r="AI52" s="8">
        <f t="shared" si="10"/>
        <v>295113.46896508313</v>
      </c>
      <c r="AJ52">
        <v>0</v>
      </c>
      <c r="AK52" s="8">
        <f>AF25</f>
        <v>8500</v>
      </c>
      <c r="AL52" s="8">
        <f t="shared" si="31"/>
        <v>13665.785553771497</v>
      </c>
      <c r="AO52">
        <v>2009</v>
      </c>
      <c r="AP52" s="8">
        <f t="shared" si="11"/>
        <v>68318</v>
      </c>
      <c r="AQ52" s="8">
        <f t="shared" si="12"/>
        <v>96387</v>
      </c>
      <c r="AR52" s="8">
        <f>AK52</f>
        <v>8500</v>
      </c>
      <c r="AS52" s="8">
        <f t="shared" si="13"/>
        <v>63750</v>
      </c>
      <c r="AT52" s="17"/>
      <c r="AU52" s="11">
        <f t="shared" si="14"/>
        <v>2009</v>
      </c>
      <c r="AV52" s="8">
        <f t="shared" si="15"/>
        <v>164705</v>
      </c>
      <c r="AW52" s="8">
        <f t="shared" si="16"/>
        <v>8500</v>
      </c>
      <c r="AX52" s="8">
        <f t="shared" si="17"/>
        <v>82418.814196438092</v>
      </c>
      <c r="AZ52" s="11">
        <f t="shared" si="18"/>
        <v>2009</v>
      </c>
      <c r="BA52" s="8">
        <f>AK52</f>
        <v>8500</v>
      </c>
      <c r="BB52" s="11">
        <f t="shared" si="19"/>
        <v>-39.913808360000004</v>
      </c>
      <c r="BC52" s="8">
        <f t="shared" si="20"/>
        <v>63750</v>
      </c>
      <c r="BD52" s="8">
        <f t="shared" si="21"/>
        <v>75937.163229440921</v>
      </c>
      <c r="BE52" s="20">
        <f t="shared" si="22"/>
        <v>7.5</v>
      </c>
      <c r="BN52" s="17">
        <f t="shared" si="23"/>
        <v>4.8278999999999996</v>
      </c>
      <c r="BO52" s="17">
        <f t="shared" si="24"/>
        <v>4.7500000000000001E-2</v>
      </c>
      <c r="BP52" s="17">
        <f t="shared" si="25"/>
        <v>1.7732316262000001</v>
      </c>
      <c r="BQ52" s="15">
        <f t="shared" si="26"/>
        <v>6.6486316262000003</v>
      </c>
      <c r="BR52" s="8">
        <f t="shared" si="27"/>
        <v>8500</v>
      </c>
      <c r="BS52" s="8">
        <f t="shared" si="28"/>
        <v>63750</v>
      </c>
      <c r="BT52" s="8">
        <f t="shared" si="29"/>
        <v>77008.937482944792</v>
      </c>
    </row>
    <row r="53" spans="1:72" x14ac:dyDescent="0.25">
      <c r="A53" s="1"/>
      <c r="B53" s="11"/>
      <c r="D53" s="20"/>
      <c r="E53" s="1"/>
      <c r="F53" s="11"/>
      <c r="G53" s="21"/>
      <c r="H53" s="15"/>
      <c r="O53" s="6">
        <v>2004</v>
      </c>
      <c r="P53" s="7">
        <v>14378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>
        <f t="shared" si="32"/>
        <v>2004</v>
      </c>
      <c r="AC53" s="8">
        <f t="shared" si="33"/>
        <v>14378</v>
      </c>
      <c r="AE53">
        <v>2010</v>
      </c>
      <c r="AF53" s="8">
        <f t="shared" si="8"/>
        <v>81321</v>
      </c>
      <c r="AG53" s="8">
        <f t="shared" si="30"/>
        <v>316537</v>
      </c>
      <c r="AH53" s="8">
        <f t="shared" si="9"/>
        <v>8500</v>
      </c>
      <c r="AI53" s="8">
        <f t="shared" si="10"/>
        <v>289571.89545618312</v>
      </c>
      <c r="AJ53">
        <v>0</v>
      </c>
      <c r="AK53" s="8">
        <f>AF26</f>
        <v>27800</v>
      </c>
      <c r="AL53" s="8">
        <f t="shared" si="31"/>
        <v>22305.853952537935</v>
      </c>
      <c r="AO53">
        <v>2010</v>
      </c>
      <c r="AP53" s="8">
        <f t="shared" si="11"/>
        <v>56931</v>
      </c>
      <c r="AQ53" s="8">
        <f t="shared" si="12"/>
        <v>316537</v>
      </c>
      <c r="AR53" s="8">
        <f>AK53</f>
        <v>27800</v>
      </c>
      <c r="AS53" s="8">
        <f t="shared" si="13"/>
        <v>297460</v>
      </c>
      <c r="AT53" s="17"/>
      <c r="AU53" s="11">
        <f t="shared" si="14"/>
        <v>2010</v>
      </c>
      <c r="AV53" s="8">
        <f t="shared" si="15"/>
        <v>373468</v>
      </c>
      <c r="AW53" s="8">
        <f t="shared" si="16"/>
        <v>27800</v>
      </c>
      <c r="AX53" s="8">
        <f t="shared" si="17"/>
        <v>258041.90032945285</v>
      </c>
      <c r="AZ53" s="11">
        <f t="shared" si="18"/>
        <v>2010</v>
      </c>
      <c r="BA53" s="8">
        <f>AK53</f>
        <v>27800</v>
      </c>
      <c r="BB53" s="11">
        <f t="shared" si="19"/>
        <v>44.852338459999999</v>
      </c>
      <c r="BC53" s="8">
        <f t="shared" si="20"/>
        <v>297460</v>
      </c>
      <c r="BD53" s="8">
        <f t="shared" si="21"/>
        <v>264016.45123764285</v>
      </c>
      <c r="BE53" s="20">
        <f t="shared" si="22"/>
        <v>10.7</v>
      </c>
      <c r="BN53" s="17">
        <f t="shared" si="23"/>
        <v>4.3906000000000001</v>
      </c>
      <c r="BO53" s="17">
        <f t="shared" si="24"/>
        <v>2.9899999999999999E-2</v>
      </c>
      <c r="BP53" s="17">
        <f t="shared" si="25"/>
        <v>0.82926726120000016</v>
      </c>
      <c r="BQ53" s="15">
        <f t="shared" si="26"/>
        <v>5.2497672611999997</v>
      </c>
      <c r="BR53" s="8">
        <f t="shared" si="27"/>
        <v>27800</v>
      </c>
      <c r="BS53" s="8">
        <f t="shared" si="28"/>
        <v>297460</v>
      </c>
      <c r="BT53" s="8">
        <f t="shared" si="29"/>
        <v>265150.07248085545</v>
      </c>
    </row>
    <row r="54" spans="1:72" x14ac:dyDescent="0.25">
      <c r="A54" s="1"/>
      <c r="B54" s="11"/>
      <c r="D54" s="20"/>
      <c r="E54" s="1"/>
      <c r="F54" s="11"/>
      <c r="G54" s="21"/>
      <c r="H54" s="15"/>
      <c r="O54" s="6">
        <v>2005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18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>
        <f t="shared" si="32"/>
        <v>2005</v>
      </c>
      <c r="AC54" s="8">
        <f t="shared" si="33"/>
        <v>18</v>
      </c>
      <c r="AE54">
        <v>2011</v>
      </c>
      <c r="AF54" s="8">
        <f t="shared" si="8"/>
        <v>81049</v>
      </c>
      <c r="AG54" s="8">
        <f t="shared" si="30"/>
        <v>350873</v>
      </c>
      <c r="AH54" s="8">
        <f t="shared" si="9"/>
        <v>27800</v>
      </c>
      <c r="AI54" s="8">
        <f t="shared" si="10"/>
        <v>234771.19522516313</v>
      </c>
      <c r="AJ54">
        <v>0</v>
      </c>
      <c r="AK54" s="8">
        <f>AF27</f>
        <v>25500</v>
      </c>
      <c r="AL54" s="8">
        <f t="shared" si="31"/>
        <v>28351.960525751187</v>
      </c>
      <c r="AO54">
        <v>2011</v>
      </c>
      <c r="AP54" s="8">
        <f t="shared" si="11"/>
        <v>56931</v>
      </c>
      <c r="AQ54" s="8">
        <f t="shared" si="12"/>
        <v>350873</v>
      </c>
      <c r="AR54" s="8">
        <f>AK54</f>
        <v>25500</v>
      </c>
      <c r="AS54" s="8">
        <f t="shared" si="13"/>
        <v>242250</v>
      </c>
      <c r="AT54" s="17"/>
      <c r="AU54" s="11">
        <f t="shared" si="14"/>
        <v>2011</v>
      </c>
      <c r="AV54" s="8">
        <f t="shared" si="15"/>
        <v>407804</v>
      </c>
      <c r="AW54" s="8">
        <f t="shared" si="16"/>
        <v>25500</v>
      </c>
      <c r="AX54" s="8">
        <f t="shared" si="17"/>
        <v>241240.21505994399</v>
      </c>
      <c r="AZ54" s="11">
        <f t="shared" si="18"/>
        <v>2011</v>
      </c>
      <c r="BA54" s="8">
        <f>AK54</f>
        <v>25500</v>
      </c>
      <c r="BB54" s="11">
        <f t="shared" si="19"/>
        <v>92.71648110000001</v>
      </c>
      <c r="BC54" s="8">
        <f t="shared" si="20"/>
        <v>242250</v>
      </c>
      <c r="BD54" s="8">
        <f t="shared" si="21"/>
        <v>246777.41172132967</v>
      </c>
      <c r="BE54" s="20">
        <f t="shared" si="22"/>
        <v>9.5</v>
      </c>
      <c r="BN54" s="17">
        <f t="shared" si="23"/>
        <v>2.7221000000000002</v>
      </c>
      <c r="BO54" s="17">
        <f t="shared" si="24"/>
        <v>0.64780000000000004</v>
      </c>
      <c r="BP54" s="17">
        <f t="shared" si="25"/>
        <v>2.9273251710000001</v>
      </c>
      <c r="BQ54" s="15">
        <f t="shared" si="26"/>
        <v>6.2972251710000009</v>
      </c>
      <c r="BR54" s="8">
        <f t="shared" si="27"/>
        <v>25500</v>
      </c>
      <c r="BS54" s="8">
        <f t="shared" si="28"/>
        <v>242250</v>
      </c>
      <c r="BT54" s="8">
        <f t="shared" si="29"/>
        <v>244413.45778279376</v>
      </c>
    </row>
    <row r="55" spans="1:72" x14ac:dyDescent="0.25">
      <c r="A55" s="1"/>
      <c r="B55" s="11"/>
      <c r="D55" s="20"/>
      <c r="F55" s="11"/>
      <c r="G55" s="21"/>
      <c r="H55" s="15"/>
      <c r="O55" s="6">
        <v>2006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>
        <f t="shared" si="32"/>
        <v>2006</v>
      </c>
      <c r="AC55" s="8">
        <f t="shared" si="33"/>
        <v>0</v>
      </c>
      <c r="AE55">
        <v>2012</v>
      </c>
      <c r="AF55" s="8">
        <f t="shared" si="8"/>
        <v>60688</v>
      </c>
      <c r="AG55" s="8">
        <f t="shared" si="30"/>
        <v>284092</v>
      </c>
      <c r="AH55" s="8">
        <f t="shared" si="9"/>
        <v>25500</v>
      </c>
      <c r="AI55" s="8">
        <f t="shared" si="10"/>
        <v>310155.58508676314</v>
      </c>
      <c r="AJ55">
        <v>0</v>
      </c>
      <c r="AK55" s="8">
        <f>AF28</f>
        <v>24220</v>
      </c>
      <c r="AL55" s="8">
        <f t="shared" si="31"/>
        <v>26752.397446595551</v>
      </c>
      <c r="AO55">
        <v>2012</v>
      </c>
      <c r="AP55" s="8">
        <f t="shared" si="11"/>
        <v>36570</v>
      </c>
      <c r="AQ55" s="8">
        <f t="shared" si="12"/>
        <v>284092</v>
      </c>
      <c r="AR55" s="8">
        <f>AK55</f>
        <v>24220</v>
      </c>
      <c r="AS55" s="8">
        <f t="shared" si="13"/>
        <v>248255</v>
      </c>
      <c r="AT55" s="17"/>
      <c r="AU55" s="11">
        <f t="shared" si="14"/>
        <v>2012</v>
      </c>
      <c r="AV55" s="8">
        <f t="shared" si="15"/>
        <v>320662</v>
      </c>
      <c r="AW55" s="8">
        <f t="shared" si="16"/>
        <v>24220</v>
      </c>
      <c r="AX55" s="8">
        <f t="shared" si="17"/>
        <v>224483.60416349553</v>
      </c>
      <c r="AZ55" s="11">
        <f t="shared" si="18"/>
        <v>2012</v>
      </c>
      <c r="BA55" s="8">
        <f>AK55</f>
        <v>24220</v>
      </c>
      <c r="BB55" s="11">
        <f t="shared" si="19"/>
        <v>-97.783518920000006</v>
      </c>
      <c r="BC55" s="8">
        <f t="shared" si="20"/>
        <v>248255</v>
      </c>
      <c r="BD55" s="8">
        <f t="shared" si="21"/>
        <v>217799.85211606993</v>
      </c>
      <c r="BE55" s="20">
        <f t="shared" si="22"/>
        <v>10.25</v>
      </c>
      <c r="BN55" s="17">
        <f t="shared" si="23"/>
        <v>8.1051666666666673</v>
      </c>
      <c r="BO55" s="17">
        <f t="shared" si="24"/>
        <v>2.6491333333333333</v>
      </c>
      <c r="BP55" s="17">
        <f t="shared" si="25"/>
        <v>0.78189086759999993</v>
      </c>
      <c r="BQ55" s="15">
        <f t="shared" si="26"/>
        <v>11.5361908676</v>
      </c>
      <c r="BR55" s="8">
        <f t="shared" si="27"/>
        <v>24220</v>
      </c>
      <c r="BS55" s="8">
        <f t="shared" si="28"/>
        <v>248255</v>
      </c>
      <c r="BT55" s="8">
        <f t="shared" si="29"/>
        <v>241777.25588218617</v>
      </c>
    </row>
    <row r="56" spans="1:72" x14ac:dyDescent="0.25">
      <c r="O56" s="6">
        <v>2007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>
        <f t="shared" si="32"/>
        <v>2007</v>
      </c>
      <c r="AC56" s="8">
        <f t="shared" si="33"/>
        <v>0</v>
      </c>
      <c r="AE56">
        <v>2013</v>
      </c>
      <c r="AF56" s="8">
        <f t="shared" si="8"/>
        <v>60688</v>
      </c>
      <c r="AG56" s="8">
        <f t="shared" si="30"/>
        <v>303843</v>
      </c>
      <c r="AH56" s="8">
        <f t="shared" si="9"/>
        <v>24220</v>
      </c>
      <c r="AI56" s="8">
        <f t="shared" si="10"/>
        <v>282135.52894322114</v>
      </c>
      <c r="AJ56">
        <v>0</v>
      </c>
      <c r="AK56" s="8">
        <f>AF29</f>
        <v>21300</v>
      </c>
      <c r="AL56" s="8">
        <f t="shared" si="31"/>
        <v>26481.921775750459</v>
      </c>
      <c r="AZ56" s="11">
        <f t="shared" si="18"/>
        <v>2013</v>
      </c>
      <c r="BA56" s="8">
        <f>AK56</f>
        <v>21300</v>
      </c>
      <c r="BB56" s="11">
        <f t="shared" si="19"/>
        <v>-121.243875242</v>
      </c>
      <c r="BC56" s="8">
        <f t="shared" si="20"/>
        <v>192942</v>
      </c>
      <c r="BD56" s="8">
        <f t="shared" si="21"/>
        <v>188394.89965775399</v>
      </c>
      <c r="BE56" s="20">
        <f t="shared" si="22"/>
        <v>9.0583098591549298</v>
      </c>
      <c r="BN56" s="17">
        <f t="shared" si="23"/>
        <v>0</v>
      </c>
      <c r="BO56" s="17">
        <f t="shared" si="24"/>
        <v>0</v>
      </c>
      <c r="BP56" s="17">
        <f t="shared" si="25"/>
        <v>0.80828730500000001</v>
      </c>
      <c r="BQ56" s="15">
        <f t="shared" si="26"/>
        <v>0.80828730500000001</v>
      </c>
      <c r="BR56" s="8">
        <f t="shared" si="27"/>
        <v>21300</v>
      </c>
      <c r="BS56" s="8">
        <f t="shared" si="28"/>
        <v>192942</v>
      </c>
      <c r="BT56" s="8">
        <f t="shared" si="29"/>
        <v>192391.64436803531</v>
      </c>
    </row>
    <row r="57" spans="1:72" x14ac:dyDescent="0.25">
      <c r="O57" s="6">
        <v>2008</v>
      </c>
      <c r="P57" s="7">
        <v>5700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>
        <f t="shared" si="32"/>
        <v>2008</v>
      </c>
      <c r="AC57" s="8">
        <f t="shared" si="33"/>
        <v>5700</v>
      </c>
      <c r="AE57" s="23" t="s">
        <v>609</v>
      </c>
      <c r="AF57" s="23" t="s">
        <v>72</v>
      </c>
      <c r="AG57" s="23" t="s">
        <v>91</v>
      </c>
      <c r="AH57" s="23" t="s">
        <v>606</v>
      </c>
      <c r="AJ57" s="24" t="s">
        <v>72</v>
      </c>
      <c r="AK57" s="24" t="s">
        <v>91</v>
      </c>
      <c r="AL57" s="24" t="s">
        <v>90</v>
      </c>
      <c r="AM57" s="24" t="s">
        <v>94</v>
      </c>
      <c r="AP57" s="24" t="s">
        <v>97</v>
      </c>
      <c r="AQ57" t="s">
        <v>90</v>
      </c>
      <c r="AR57" t="s">
        <v>89</v>
      </c>
      <c r="AV57" s="24" t="s">
        <v>99</v>
      </c>
      <c r="AW57" s="24" t="s">
        <v>98</v>
      </c>
      <c r="BA57" s="24" t="s">
        <v>591</v>
      </c>
      <c r="BB57" s="24" t="s">
        <v>99</v>
      </c>
      <c r="BG57" t="s">
        <v>590</v>
      </c>
      <c r="BP57" s="23" t="s">
        <v>69</v>
      </c>
      <c r="BQ57" s="23" t="s">
        <v>589</v>
      </c>
      <c r="BR57" s="23" t="s">
        <v>260</v>
      </c>
    </row>
    <row r="58" spans="1:72" x14ac:dyDescent="0.25">
      <c r="O58" s="6">
        <v>2009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>
        <f t="shared" si="32"/>
        <v>2009</v>
      </c>
      <c r="AC58" s="8">
        <f t="shared" si="33"/>
        <v>0</v>
      </c>
      <c r="AE58" s="23">
        <f t="array" ref="AE58:AH62">LINEST(AK42:AK55,AG42:AJ55,0,1)</f>
        <v>-6915.5637615814903</v>
      </c>
      <c r="AF58" s="23">
        <v>2.391045500251247E-2</v>
      </c>
      <c r="AG58" s="23">
        <v>0.30949359224209133</v>
      </c>
      <c r="AH58" s="23">
        <v>4.0283956195272107E-2</v>
      </c>
      <c r="AJ58" s="24">
        <f t="array" ref="AJ58:AM62">LINEST(AK42:AK56,AF42:AI56,0,1)</f>
        <v>4.2063173007701148E-2</v>
      </c>
      <c r="AK58" s="24">
        <v>0.20468853861336156</v>
      </c>
      <c r="AL58" s="24">
        <v>3.5354154290897111E-2</v>
      </c>
      <c r="AM58" s="24">
        <v>-3.7225979825151988E-2</v>
      </c>
      <c r="AP58">
        <f t="array" ref="AP58:AR62">LINEST(AS42:AS55,AP42:AR55,0,1)</f>
        <v>8.0625689220580963</v>
      </c>
      <c r="AQ58">
        <v>0.17441891406819587</v>
      </c>
      <c r="AR58">
        <v>-0.29904464225270599</v>
      </c>
      <c r="AV58" s="24">
        <f t="array" ref="AV58:AW62">LINEST(AS42:AS55,AV42:AW55,0,1)</f>
        <v>8.345671319767483</v>
      </c>
      <c r="AW58" s="24">
        <v>6.9704064712148905E-2</v>
      </c>
      <c r="BA58">
        <f t="array" ref="BA58:BC62">LINEST(BC42:BC56,BA42:BB56,0,1)</f>
        <v>89.269080986510843</v>
      </c>
      <c r="BB58">
        <v>9.3529684965188036</v>
      </c>
      <c r="BC58">
        <v>0</v>
      </c>
      <c r="BG58" t="s">
        <v>588</v>
      </c>
      <c r="BP58" s="15">
        <f t="array" ref="BP58:BR62">LINEST(BS42:BS56,BQ42:BR56,1,1)</f>
        <v>9.886855785994797</v>
      </c>
      <c r="BQ58" s="11">
        <v>1912.3953248955027</v>
      </c>
      <c r="BR58" s="11">
        <v>-19744.148736908246</v>
      </c>
    </row>
    <row r="59" spans="1:72" x14ac:dyDescent="0.25">
      <c r="O59" s="6">
        <v>2010</v>
      </c>
      <c r="P59" s="7">
        <v>0</v>
      </c>
      <c r="Q59" s="7">
        <v>1425</v>
      </c>
      <c r="R59" s="77">
        <v>0</v>
      </c>
      <c r="S59" s="7">
        <v>286</v>
      </c>
      <c r="T59" s="7">
        <v>112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2755</v>
      </c>
      <c r="AB59">
        <f t="shared" si="32"/>
        <v>2010</v>
      </c>
      <c r="AC59" s="8">
        <f t="shared" si="33"/>
        <v>1823</v>
      </c>
      <c r="AD59" t="s">
        <v>545</v>
      </c>
      <c r="AE59">
        <v>2573.235413550959</v>
      </c>
      <c r="AF59">
        <v>1.1796314532510345E-2</v>
      </c>
      <c r="AG59">
        <v>0.13033824850566789</v>
      </c>
      <c r="AH59">
        <v>9.935808578508518E-3</v>
      </c>
      <c r="AJ59">
        <v>1.4427531408793694E-2</v>
      </c>
      <c r="AK59">
        <v>0.15081120950401547</v>
      </c>
      <c r="AL59">
        <v>1.2302040417624886E-2</v>
      </c>
      <c r="AM59">
        <v>3.5298712546478546E-2</v>
      </c>
      <c r="AO59" t="s">
        <v>545</v>
      </c>
      <c r="AP59">
        <v>0.67420966924914061</v>
      </c>
      <c r="AQ59">
        <v>6.1739757768638291E-2</v>
      </c>
      <c r="AR59">
        <v>0.15691171445897414</v>
      </c>
      <c r="AV59">
        <v>0.79077743432470704</v>
      </c>
      <c r="AW59">
        <v>5.3060727285662301E-2</v>
      </c>
      <c r="BA59">
        <v>73.447474174074472</v>
      </c>
      <c r="BB59">
        <v>0.31023625487495188</v>
      </c>
      <c r="BC59" t="e">
        <v>#N/A</v>
      </c>
      <c r="BG59" t="s">
        <v>587</v>
      </c>
      <c r="BP59" s="15">
        <v>0.64691446479909476</v>
      </c>
      <c r="BQ59" s="11">
        <v>1538.6171557324003</v>
      </c>
      <c r="BR59" s="11">
        <v>11992.652755373814</v>
      </c>
    </row>
    <row r="60" spans="1:72" x14ac:dyDescent="0.25">
      <c r="O60" s="6">
        <v>2011</v>
      </c>
      <c r="P60" s="7">
        <v>0</v>
      </c>
      <c r="Q60" s="7">
        <v>62</v>
      </c>
      <c r="R60" s="7">
        <v>835</v>
      </c>
      <c r="S60" s="7">
        <v>92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22703</v>
      </c>
      <c r="AB60">
        <f t="shared" si="32"/>
        <v>2011</v>
      </c>
      <c r="AC60" s="8">
        <f t="shared" si="33"/>
        <v>3744</v>
      </c>
      <c r="AD60">
        <f>1-(((1-AE60)*(13))/(9))</f>
        <v>0.94941849555394819</v>
      </c>
      <c r="AE60">
        <v>0.96498203538350258</v>
      </c>
      <c r="AF60">
        <v>3830.4930508592724</v>
      </c>
      <c r="AG60" t="e">
        <v>#N/A</v>
      </c>
      <c r="AH60" t="e">
        <v>#N/A</v>
      </c>
      <c r="AJ60">
        <v>0.94878197560982569</v>
      </c>
      <c r="AK60">
        <v>4649.9542446278101</v>
      </c>
      <c r="AL60" t="e">
        <v>#N/A</v>
      </c>
      <c r="AM60" t="e">
        <v>#N/A</v>
      </c>
      <c r="AO60">
        <f>1-(((1-AJ60)*(14))/(10))</f>
        <v>0.92829476585375592</v>
      </c>
      <c r="AP60">
        <v>0.99058165013576638</v>
      </c>
      <c r="AQ60">
        <v>17748.033108648997</v>
      </c>
      <c r="AR60" t="e">
        <v>#N/A</v>
      </c>
      <c r="AV60">
        <v>0.98543805346376989</v>
      </c>
      <c r="AW60">
        <v>21128.966585171991</v>
      </c>
      <c r="BA60">
        <v>0.98636833962247639</v>
      </c>
      <c r="BB60">
        <v>20610.706850818289</v>
      </c>
      <c r="BC60" t="e">
        <v>#N/A</v>
      </c>
      <c r="BG60" t="s">
        <v>586</v>
      </c>
      <c r="BP60">
        <v>0.95350790531453833</v>
      </c>
      <c r="BQ60">
        <v>20096.148834922205</v>
      </c>
      <c r="BR60" t="e">
        <v>#N/A</v>
      </c>
    </row>
    <row r="61" spans="1:72" x14ac:dyDescent="0.25">
      <c r="O61" s="6">
        <v>2012</v>
      </c>
      <c r="P61" s="7">
        <v>556</v>
      </c>
      <c r="Q61" s="7">
        <v>18521</v>
      </c>
      <c r="R61" s="7">
        <v>357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>
        <f t="shared" si="32"/>
        <v>2012</v>
      </c>
      <c r="AC61" s="8">
        <f t="shared" si="33"/>
        <v>42137</v>
      </c>
      <c r="AD61">
        <v>3.59</v>
      </c>
      <c r="AE61">
        <v>68.8919277541969</v>
      </c>
      <c r="AF61">
        <v>10</v>
      </c>
      <c r="AG61" t="e">
        <v>#N/A</v>
      </c>
      <c r="AH61" t="e">
        <v>#N/A</v>
      </c>
      <c r="AJ61">
        <v>50.942035816351456</v>
      </c>
      <c r="AK61">
        <v>11</v>
      </c>
      <c r="AL61" t="e">
        <v>#N/A</v>
      </c>
      <c r="AM61" t="e">
        <v>#N/A</v>
      </c>
      <c r="AN61" t="s">
        <v>602</v>
      </c>
      <c r="AO61">
        <v>3.59</v>
      </c>
      <c r="AP61">
        <v>385.64427628215498</v>
      </c>
      <c r="AQ61">
        <v>11</v>
      </c>
      <c r="AR61" t="e">
        <v>#N/A</v>
      </c>
      <c r="AV61">
        <v>406.0328271410724</v>
      </c>
      <c r="AW61">
        <v>12</v>
      </c>
      <c r="BA61">
        <v>470.33112841612558</v>
      </c>
      <c r="BB61">
        <v>13</v>
      </c>
      <c r="BC61" t="e">
        <v>#N/A</v>
      </c>
      <c r="BP61">
        <v>123.05419815115864</v>
      </c>
      <c r="BQ61">
        <v>12</v>
      </c>
      <c r="BR61" t="e">
        <v>#N/A</v>
      </c>
    </row>
    <row r="62" spans="1:72" x14ac:dyDescent="0.25">
      <c r="O62" s="6">
        <v>2013</v>
      </c>
      <c r="P62" s="7">
        <v>0</v>
      </c>
      <c r="Q62" s="7">
        <v>61472</v>
      </c>
      <c r="R62" s="7">
        <v>18002</v>
      </c>
      <c r="S62" s="7">
        <v>321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>
        <f t="shared" si="32"/>
        <v>2013</v>
      </c>
      <c r="AC62" s="8">
        <f t="shared" si="33"/>
        <v>79795</v>
      </c>
      <c r="AE62">
        <v>4043316018.873188</v>
      </c>
      <c r="AF62">
        <v>146726770.12681174</v>
      </c>
      <c r="AG62" t="e">
        <v>#N/A</v>
      </c>
      <c r="AH62" t="e">
        <v>#N/A</v>
      </c>
      <c r="AJ62">
        <v>4405889969.7515459</v>
      </c>
      <c r="AK62">
        <v>237842819.24845403</v>
      </c>
      <c r="AL62" t="e">
        <v>#N/A</v>
      </c>
      <c r="AM62" t="e">
        <v>#N/A</v>
      </c>
      <c r="AP62">
        <v>364425371442.51727</v>
      </c>
      <c r="AQ62">
        <v>3464919471.4827099</v>
      </c>
      <c r="AR62" t="e">
        <v>#N/A</v>
      </c>
      <c r="AV62">
        <v>362533092166.51221</v>
      </c>
      <c r="AW62">
        <v>5357198747.4877748</v>
      </c>
      <c r="BA62">
        <v>399594490198.42523</v>
      </c>
      <c r="BB62">
        <v>5522416079.5747833</v>
      </c>
      <c r="BC62" t="e">
        <v>#N/A</v>
      </c>
      <c r="BP62">
        <v>99392155116.989197</v>
      </c>
      <c r="BQ62">
        <v>4846262375.9441404</v>
      </c>
      <c r="BR62" t="e">
        <v>#N/A</v>
      </c>
    </row>
    <row r="63" spans="1:72" x14ac:dyDescent="0.25">
      <c r="O63" s="6">
        <v>2014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/>
      <c r="W63" s="7"/>
      <c r="X63" s="7"/>
      <c r="Y63" s="7"/>
      <c r="Z63" s="7"/>
      <c r="AA63" s="7"/>
      <c r="AE63" s="15">
        <f>-AE58/AE59</f>
        <v>2.6874975080644865</v>
      </c>
      <c r="AF63" s="15">
        <f t="shared" ref="AE63:AH63" si="34">AF58/AF59</f>
        <v>2.0269428164716921</v>
      </c>
      <c r="AG63" s="15">
        <f t="shared" si="34"/>
        <v>2.3745415930507359</v>
      </c>
      <c r="AH63" s="15">
        <f t="shared" si="34"/>
        <v>4.0544215276457356</v>
      </c>
      <c r="AJ63" s="15">
        <f>AJ58/AJ59</f>
        <v>2.9154795658294885</v>
      </c>
      <c r="AK63" s="15">
        <f t="shared" ref="AK63:AM63" si="35">AK58/AK59</f>
        <v>1.3572501625478415</v>
      </c>
      <c r="AL63" s="15">
        <f t="shared" si="35"/>
        <v>2.8738447518223014</v>
      </c>
      <c r="AM63" s="15">
        <f t="shared" si="35"/>
        <v>-1.0545987980761555</v>
      </c>
      <c r="AN63" t="s">
        <v>603</v>
      </c>
    </row>
    <row r="64" spans="1:72" x14ac:dyDescent="0.25">
      <c r="AH64">
        <v>12</v>
      </c>
      <c r="AI64" t="s">
        <v>93</v>
      </c>
    </row>
    <row r="65" spans="15:48" x14ac:dyDescent="0.25">
      <c r="O65" s="1" t="s">
        <v>20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E65" t="s">
        <v>58</v>
      </c>
      <c r="AH65">
        <v>15</v>
      </c>
      <c r="AI65" t="s">
        <v>77</v>
      </c>
    </row>
    <row r="66" spans="15:48" x14ac:dyDescent="0.25">
      <c r="O66" s="1"/>
      <c r="P66" s="5" t="s">
        <v>1</v>
      </c>
      <c r="Q66" s="5" t="s">
        <v>2</v>
      </c>
      <c r="R66" s="5" t="s">
        <v>3</v>
      </c>
      <c r="S66" s="5" t="s">
        <v>4</v>
      </c>
      <c r="T66" s="5" t="s">
        <v>5</v>
      </c>
      <c r="U66" s="5" t="s">
        <v>6</v>
      </c>
      <c r="V66" s="5" t="s">
        <v>7</v>
      </c>
      <c r="W66" s="5" t="s">
        <v>8</v>
      </c>
      <c r="X66" s="5" t="s">
        <v>9</v>
      </c>
      <c r="Y66" s="5" t="s">
        <v>10</v>
      </c>
      <c r="Z66" s="5" t="s">
        <v>11</v>
      </c>
      <c r="AA66" s="5" t="s">
        <v>12</v>
      </c>
      <c r="AB66" s="5" t="s">
        <v>42</v>
      </c>
      <c r="AC66" s="5" t="s">
        <v>41</v>
      </c>
      <c r="AD66" s="5"/>
      <c r="AE66" s="14" t="s">
        <v>54</v>
      </c>
      <c r="AI66" t="s">
        <v>38</v>
      </c>
      <c r="AO66" t="s">
        <v>37</v>
      </c>
    </row>
    <row r="67" spans="15:48" x14ac:dyDescent="0.25">
      <c r="O67" s="1">
        <v>1997</v>
      </c>
      <c r="P67" s="13">
        <v>0</v>
      </c>
      <c r="Q67" s="13">
        <v>130607</v>
      </c>
      <c r="R67" s="13">
        <v>85342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254</v>
      </c>
      <c r="AB67" s="5"/>
      <c r="AC67" s="5"/>
      <c r="AD67" s="5"/>
      <c r="AE67" t="s">
        <v>43</v>
      </c>
      <c r="AF67" t="s">
        <v>55</v>
      </c>
      <c r="AG67" t="s">
        <v>56</v>
      </c>
      <c r="AH67" t="s">
        <v>57</v>
      </c>
      <c r="AI67" t="s">
        <v>40</v>
      </c>
      <c r="AJ67" t="s">
        <v>59</v>
      </c>
      <c r="AK67" t="s">
        <v>60</v>
      </c>
      <c r="AL67" t="s">
        <v>61</v>
      </c>
      <c r="AN67" t="s">
        <v>43</v>
      </c>
      <c r="AO67" t="s">
        <v>55</v>
      </c>
      <c r="AP67" t="s">
        <v>56</v>
      </c>
      <c r="AQ67" t="s">
        <v>57</v>
      </c>
      <c r="AR67" t="s">
        <v>40</v>
      </c>
      <c r="AS67" t="s">
        <v>59</v>
      </c>
      <c r="AT67" t="s">
        <v>60</v>
      </c>
      <c r="AU67" t="s">
        <v>61</v>
      </c>
      <c r="AV67" t="s">
        <v>92</v>
      </c>
    </row>
    <row r="68" spans="15:48" x14ac:dyDescent="0.25">
      <c r="O68" s="1">
        <v>1998</v>
      </c>
      <c r="P68" s="7">
        <v>0</v>
      </c>
      <c r="Q68" s="7">
        <v>82579</v>
      </c>
      <c r="R68" s="7">
        <v>6831</v>
      </c>
      <c r="S68" s="7">
        <v>0</v>
      </c>
      <c r="T68" s="7">
        <v>54036</v>
      </c>
      <c r="U68" s="7">
        <v>0</v>
      </c>
      <c r="V68" s="7">
        <v>0</v>
      </c>
      <c r="W68" s="7">
        <v>1958</v>
      </c>
      <c r="X68" s="7">
        <v>138470</v>
      </c>
      <c r="Y68" s="7">
        <v>13987</v>
      </c>
      <c r="Z68" s="7">
        <v>162</v>
      </c>
      <c r="AA68" s="7">
        <v>0</v>
      </c>
      <c r="AB68" s="4">
        <v>1998</v>
      </c>
      <c r="AC68" s="8">
        <f t="shared" ref="AC68:AC84" si="36">Z67+AA67+SUM(P68:Y68)</f>
        <v>298115</v>
      </c>
      <c r="AE68" s="4">
        <v>1998</v>
      </c>
      <c r="AF68" s="8">
        <f>AC68+AC89</f>
        <v>433071</v>
      </c>
      <c r="AG68" s="11">
        <f>125+SUM(B5:D5)</f>
        <v>414.08418718000001</v>
      </c>
      <c r="AH68" s="15">
        <f t="shared" ref="AH68:AH84" si="37">(AG68/100)-1.5</f>
        <v>2.6408418718000002</v>
      </c>
      <c r="AI68" s="8">
        <v>15000</v>
      </c>
      <c r="AJ68" s="8">
        <f>AI68*$AH$64</f>
        <v>180000</v>
      </c>
      <c r="AK68" s="8">
        <f t="shared" ref="AK68:AK83" si="38">AJ68-(AI68*AH68)</f>
        <v>140387.371923</v>
      </c>
      <c r="AL68" s="8">
        <f t="shared" ref="AL68:AL83" si="39">AF68-AK68</f>
        <v>292683.62807700003</v>
      </c>
      <c r="AN68" s="4">
        <v>1998</v>
      </c>
      <c r="AO68" s="8">
        <f>AC5+AC26+AC47</f>
        <v>424047</v>
      </c>
      <c r="AP68" s="11">
        <f t="shared" ref="AP68:AP83" si="40">AG68</f>
        <v>414.08418718000001</v>
      </c>
      <c r="AQ68" s="15">
        <f t="shared" ref="AQ68:AQ83" si="41">AH68</f>
        <v>2.6408418718000002</v>
      </c>
      <c r="AR68" s="8">
        <f t="shared" ref="AR68:AR83" si="42">AF14</f>
        <v>18000</v>
      </c>
      <c r="AS68" s="8">
        <f>AR68*$AH$64</f>
        <v>216000</v>
      </c>
      <c r="AT68" s="8">
        <f t="shared" ref="AT68:AT83" si="43">AS68-(AR68*AQ68)</f>
        <v>168464.8463076</v>
      </c>
      <c r="AU68" s="8">
        <f t="shared" ref="AU68:AU83" si="44">AO68-AT68</f>
        <v>255582.1536924</v>
      </c>
      <c r="AV68" s="8">
        <f t="shared" ref="AV68:AV83" si="45">IF(AU68&gt;0,AU68,0)</f>
        <v>255582.1536924</v>
      </c>
    </row>
    <row r="69" spans="15:48" x14ac:dyDescent="0.25">
      <c r="O69" s="6">
        <v>1999</v>
      </c>
      <c r="P69" s="7">
        <v>0</v>
      </c>
      <c r="Q69" s="7">
        <v>117774</v>
      </c>
      <c r="R69" s="7">
        <v>78963</v>
      </c>
      <c r="S69" s="7">
        <v>1445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6">
        <v>1999</v>
      </c>
      <c r="AC69" s="8">
        <f t="shared" si="36"/>
        <v>198344</v>
      </c>
      <c r="AE69" s="6">
        <v>1999</v>
      </c>
      <c r="AF69" s="8">
        <f t="shared" ref="AF69:AF84" si="46">IF(AL68&gt;0,AL68+AC69+AC90,AC69+AC90)</f>
        <v>523489.62807700003</v>
      </c>
      <c r="AG69" s="8">
        <f t="shared" ref="AG69:AG84" si="47">L5+M5+B6+C6+D6</f>
        <v>323.38507788000004</v>
      </c>
      <c r="AH69" s="15">
        <f t="shared" si="37"/>
        <v>1.7338507788000004</v>
      </c>
      <c r="AI69" s="8">
        <v>22000</v>
      </c>
      <c r="AJ69" s="8">
        <f>AI69*$AH$64</f>
        <v>264000</v>
      </c>
      <c r="AK69" s="8">
        <f t="shared" si="38"/>
        <v>225855.2828664</v>
      </c>
      <c r="AL69" s="8">
        <f t="shared" si="39"/>
        <v>297634.34521060006</v>
      </c>
      <c r="AN69" s="6">
        <v>1999</v>
      </c>
      <c r="AO69" s="8">
        <f t="shared" ref="AO69:AO83" si="48">AV68+AC6+AC27+AC48</f>
        <v>533998.15369239997</v>
      </c>
      <c r="AP69" s="11">
        <f t="shared" si="40"/>
        <v>323.38507788000004</v>
      </c>
      <c r="AQ69" s="15">
        <f t="shared" si="41"/>
        <v>1.7338507788000004</v>
      </c>
      <c r="AR69" s="8">
        <f t="shared" si="42"/>
        <v>20000</v>
      </c>
      <c r="AS69" s="8">
        <f>AR69*$AH$64</f>
        <v>240000</v>
      </c>
      <c r="AT69" s="8">
        <f t="shared" si="43"/>
        <v>205322.98442399999</v>
      </c>
      <c r="AU69" s="8">
        <f t="shared" si="44"/>
        <v>328675.16926839994</v>
      </c>
      <c r="AV69" s="8">
        <f t="shared" si="45"/>
        <v>328675.16926839994</v>
      </c>
    </row>
    <row r="70" spans="15:48" x14ac:dyDescent="0.25">
      <c r="O70" s="6">
        <v>2000</v>
      </c>
      <c r="P70" s="7">
        <v>15541</v>
      </c>
      <c r="Q70" s="7">
        <v>19588</v>
      </c>
      <c r="R70" s="7">
        <v>572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60952</v>
      </c>
      <c r="AA70" s="7">
        <v>15693</v>
      </c>
      <c r="AB70" s="6">
        <v>2000</v>
      </c>
      <c r="AC70" s="8">
        <f t="shared" si="36"/>
        <v>35701</v>
      </c>
      <c r="AD70" s="8"/>
      <c r="AE70" s="6">
        <v>2000</v>
      </c>
      <c r="AF70" s="8">
        <f t="shared" si="46"/>
        <v>336810.34521060006</v>
      </c>
      <c r="AG70" s="8">
        <f t="shared" si="47"/>
        <v>294.51648109799999</v>
      </c>
      <c r="AH70" s="15">
        <f t="shared" si="37"/>
        <v>1.4451648109799997</v>
      </c>
      <c r="AI70" s="8">
        <v>25687</v>
      </c>
      <c r="AJ70" s="8">
        <f>AI70*$AH$64</f>
        <v>308244</v>
      </c>
      <c r="AK70" s="8">
        <f t="shared" si="38"/>
        <v>271122.05150035676</v>
      </c>
      <c r="AL70" s="8">
        <f t="shared" si="39"/>
        <v>65688.293710243306</v>
      </c>
      <c r="AM70" s="11"/>
      <c r="AN70" s="6">
        <v>2000</v>
      </c>
      <c r="AO70" s="8">
        <f t="shared" si="48"/>
        <v>457486.16926839994</v>
      </c>
      <c r="AP70" s="11">
        <f t="shared" si="40"/>
        <v>294.51648109799999</v>
      </c>
      <c r="AQ70" s="15">
        <f t="shared" si="41"/>
        <v>1.4451648109799997</v>
      </c>
      <c r="AR70" s="8">
        <f t="shared" si="42"/>
        <v>22667</v>
      </c>
      <c r="AS70" s="8">
        <f>AR70*$AH$64</f>
        <v>272004</v>
      </c>
      <c r="AT70" s="8">
        <f t="shared" si="43"/>
        <v>239246.44922951635</v>
      </c>
      <c r="AU70" s="8">
        <f t="shared" si="44"/>
        <v>218239.72003888359</v>
      </c>
      <c r="AV70" s="8">
        <f t="shared" si="45"/>
        <v>218239.72003888359</v>
      </c>
    </row>
    <row r="71" spans="15:48" x14ac:dyDescent="0.25">
      <c r="O71" s="6">
        <v>2001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6">
        <v>2001</v>
      </c>
      <c r="AC71" s="8">
        <f t="shared" si="36"/>
        <v>76645</v>
      </c>
      <c r="AD71" s="8"/>
      <c r="AE71" s="6">
        <v>2001</v>
      </c>
      <c r="AF71" s="8">
        <f t="shared" si="46"/>
        <v>147650.29371024331</v>
      </c>
      <c r="AG71" s="8">
        <f t="shared" si="47"/>
        <v>172.87305143</v>
      </c>
      <c r="AH71" s="15">
        <f t="shared" si="37"/>
        <v>0.22873051430000002</v>
      </c>
      <c r="AI71" s="8">
        <v>10000</v>
      </c>
      <c r="AJ71" s="8">
        <f>AI71*$AH$64</f>
        <v>120000</v>
      </c>
      <c r="AK71" s="8">
        <f t="shared" si="38"/>
        <v>117712.69485699999</v>
      </c>
      <c r="AL71" s="8">
        <f t="shared" si="39"/>
        <v>29937.598853243311</v>
      </c>
      <c r="AM71" s="11"/>
      <c r="AN71" s="6">
        <v>2001</v>
      </c>
      <c r="AO71" s="8">
        <f t="shared" si="48"/>
        <v>321118.72003888362</v>
      </c>
      <c r="AP71" s="11">
        <f t="shared" si="40"/>
        <v>172.87305143</v>
      </c>
      <c r="AQ71" s="15">
        <f t="shared" si="41"/>
        <v>0.22873051430000002</v>
      </c>
      <c r="AR71" s="8">
        <f t="shared" si="42"/>
        <v>15000</v>
      </c>
      <c r="AS71" s="8">
        <f>AR71*$AH$64</f>
        <v>180000</v>
      </c>
      <c r="AT71" s="8">
        <f t="shared" si="43"/>
        <v>176569.04228550001</v>
      </c>
      <c r="AU71" s="8">
        <f t="shared" si="44"/>
        <v>144549.67775338361</v>
      </c>
      <c r="AV71" s="8">
        <f t="shared" si="45"/>
        <v>144549.67775338361</v>
      </c>
    </row>
    <row r="72" spans="15:48" x14ac:dyDescent="0.25">
      <c r="O72" s="6">
        <v>2002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6">
        <v>2002</v>
      </c>
      <c r="AC72" s="8">
        <f t="shared" si="36"/>
        <v>0</v>
      </c>
      <c r="AD72" s="8"/>
      <c r="AE72" s="6">
        <v>2002</v>
      </c>
      <c r="AF72" s="8">
        <f t="shared" si="46"/>
        <v>29937.598853243311</v>
      </c>
      <c r="AG72" s="8">
        <f t="shared" si="47"/>
        <v>154.351893104</v>
      </c>
      <c r="AH72" s="15">
        <f t="shared" si="37"/>
        <v>4.3518931039999931E-2</v>
      </c>
      <c r="AI72" s="8">
        <v>0</v>
      </c>
      <c r="AJ72" s="8">
        <f t="shared" ref="AJ72:AJ83" si="49">AI72*$AH$65</f>
        <v>0</v>
      </c>
      <c r="AK72" s="8">
        <f t="shared" si="38"/>
        <v>0</v>
      </c>
      <c r="AL72" s="8">
        <f t="shared" si="39"/>
        <v>29937.598853243311</v>
      </c>
      <c r="AM72" s="11"/>
      <c r="AN72" s="6">
        <v>2002</v>
      </c>
      <c r="AO72" s="8">
        <f t="shared" si="48"/>
        <v>240820.67775338361</v>
      </c>
      <c r="AP72" s="11">
        <f t="shared" si="40"/>
        <v>154.351893104</v>
      </c>
      <c r="AQ72" s="15">
        <f t="shared" si="41"/>
        <v>4.3518931039999931E-2</v>
      </c>
      <c r="AR72" s="8">
        <f t="shared" si="42"/>
        <v>4500</v>
      </c>
      <c r="AS72" s="8">
        <f t="shared" ref="AS72:AS83" si="50">AR72*$AH$65</f>
        <v>67500</v>
      </c>
      <c r="AT72" s="8">
        <f t="shared" si="43"/>
        <v>67304.164810319999</v>
      </c>
      <c r="AU72" s="8">
        <f t="shared" si="44"/>
        <v>173516.51294306363</v>
      </c>
      <c r="AV72" s="8">
        <f t="shared" si="45"/>
        <v>173516.51294306363</v>
      </c>
    </row>
    <row r="73" spans="15:48" x14ac:dyDescent="0.25">
      <c r="O73" s="6">
        <v>2003</v>
      </c>
      <c r="P73" s="7">
        <v>0</v>
      </c>
      <c r="Q73" s="7">
        <v>0</v>
      </c>
      <c r="R73" s="7">
        <v>0</v>
      </c>
      <c r="S73" s="7">
        <v>13818</v>
      </c>
      <c r="T73" s="7">
        <v>2127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8188</v>
      </c>
      <c r="AB73" s="6">
        <v>2003</v>
      </c>
      <c r="AC73" s="8">
        <f t="shared" si="36"/>
        <v>15945</v>
      </c>
      <c r="AD73" s="8"/>
      <c r="AE73" s="6">
        <v>2003</v>
      </c>
      <c r="AF73" s="8">
        <f t="shared" si="46"/>
        <v>47707.598853243311</v>
      </c>
      <c r="AG73" s="8">
        <f t="shared" si="47"/>
        <v>380.94142562999997</v>
      </c>
      <c r="AH73" s="15">
        <f t="shared" si="37"/>
        <v>2.3094142562999997</v>
      </c>
      <c r="AI73" s="8">
        <v>1000</v>
      </c>
      <c r="AJ73" s="8">
        <f t="shared" si="49"/>
        <v>15000</v>
      </c>
      <c r="AK73" s="8">
        <f t="shared" si="38"/>
        <v>12690.585743700001</v>
      </c>
      <c r="AL73" s="8">
        <f t="shared" si="39"/>
        <v>35017.01310954331</v>
      </c>
      <c r="AM73" s="11"/>
      <c r="AN73" s="6">
        <v>2003</v>
      </c>
      <c r="AO73" s="8">
        <f t="shared" si="48"/>
        <v>271876.51294306363</v>
      </c>
      <c r="AP73" s="11">
        <f t="shared" si="40"/>
        <v>380.94142562999997</v>
      </c>
      <c r="AQ73" s="15">
        <f t="shared" si="41"/>
        <v>2.3094142562999997</v>
      </c>
      <c r="AR73" s="8">
        <f t="shared" si="42"/>
        <v>11700</v>
      </c>
      <c r="AS73" s="8">
        <f t="shared" si="50"/>
        <v>175500</v>
      </c>
      <c r="AT73" s="8">
        <f t="shared" si="43"/>
        <v>148479.85320129001</v>
      </c>
      <c r="AU73" s="8">
        <f t="shared" si="44"/>
        <v>123396.65974177362</v>
      </c>
      <c r="AV73" s="8">
        <f t="shared" si="45"/>
        <v>123396.65974177362</v>
      </c>
    </row>
    <row r="74" spans="15:48" x14ac:dyDescent="0.25">
      <c r="O74" s="6">
        <v>2004</v>
      </c>
      <c r="P74" s="7">
        <v>113013</v>
      </c>
      <c r="Q74" s="7">
        <v>54823</v>
      </c>
      <c r="R74" s="7">
        <v>32124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4123</v>
      </c>
      <c r="AB74" s="6">
        <v>2004</v>
      </c>
      <c r="AC74" s="8">
        <f t="shared" si="36"/>
        <v>208148</v>
      </c>
      <c r="AD74" s="8"/>
      <c r="AE74" s="6">
        <v>2004</v>
      </c>
      <c r="AF74" s="8">
        <f t="shared" si="46"/>
        <v>313224.0131095433</v>
      </c>
      <c r="AG74" s="8">
        <f t="shared" si="47"/>
        <v>290.14253902000007</v>
      </c>
      <c r="AH74" s="15">
        <f t="shared" si="37"/>
        <v>1.4014253902000009</v>
      </c>
      <c r="AI74" s="8">
        <v>20000</v>
      </c>
      <c r="AJ74" s="8">
        <f t="shared" si="49"/>
        <v>300000</v>
      </c>
      <c r="AK74" s="8">
        <f t="shared" si="38"/>
        <v>271971.49219600001</v>
      </c>
      <c r="AL74" s="8">
        <f t="shared" si="39"/>
        <v>41252.520913543296</v>
      </c>
      <c r="AM74" s="11"/>
      <c r="AN74" s="6">
        <v>2004</v>
      </c>
      <c r="AO74" s="8">
        <f t="shared" si="48"/>
        <v>408519.65974177362</v>
      </c>
      <c r="AP74" s="11">
        <f t="shared" si="40"/>
        <v>290.14253902000007</v>
      </c>
      <c r="AQ74" s="15">
        <f t="shared" si="41"/>
        <v>1.4014253902000009</v>
      </c>
      <c r="AR74" s="8">
        <f t="shared" si="42"/>
        <v>20000</v>
      </c>
      <c r="AS74" s="8">
        <f t="shared" si="50"/>
        <v>300000</v>
      </c>
      <c r="AT74" s="8">
        <f t="shared" si="43"/>
        <v>271971.49219600001</v>
      </c>
      <c r="AU74" s="8">
        <f t="shared" si="44"/>
        <v>136548.16754577361</v>
      </c>
      <c r="AV74" s="8">
        <f t="shared" si="45"/>
        <v>136548.16754577361</v>
      </c>
    </row>
    <row r="75" spans="15:48" x14ac:dyDescent="0.25">
      <c r="O75" s="6">
        <v>2005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7766</v>
      </c>
      <c r="W75" s="7">
        <v>0</v>
      </c>
      <c r="X75" s="7">
        <v>0</v>
      </c>
      <c r="Y75" s="7">
        <v>0</v>
      </c>
      <c r="Z75" s="7">
        <v>0</v>
      </c>
      <c r="AA75" s="7">
        <v>24203</v>
      </c>
      <c r="AB75" s="6">
        <v>2005</v>
      </c>
      <c r="AC75" s="8">
        <f t="shared" si="36"/>
        <v>11889</v>
      </c>
      <c r="AD75" s="8"/>
      <c r="AE75" s="6">
        <v>2005</v>
      </c>
      <c r="AF75" s="8">
        <f t="shared" si="46"/>
        <v>54141.520913543296</v>
      </c>
      <c r="AG75" s="8">
        <f t="shared" si="47"/>
        <v>201.08997754000001</v>
      </c>
      <c r="AH75" s="15">
        <f t="shared" si="37"/>
        <v>0.51089977539999998</v>
      </c>
      <c r="AI75" s="8">
        <v>4825</v>
      </c>
      <c r="AJ75" s="8">
        <f t="shared" si="49"/>
        <v>72375</v>
      </c>
      <c r="AK75" s="8">
        <f t="shared" si="38"/>
        <v>69909.908583694996</v>
      </c>
      <c r="AL75" s="8">
        <f t="shared" si="39"/>
        <v>-15768.3876701517</v>
      </c>
      <c r="AM75" s="11"/>
      <c r="AN75" s="6">
        <v>2005</v>
      </c>
      <c r="AO75" s="8">
        <f t="shared" si="48"/>
        <v>194672.16754577361</v>
      </c>
      <c r="AP75" s="11">
        <f t="shared" si="40"/>
        <v>201.08997754000001</v>
      </c>
      <c r="AQ75" s="15">
        <f t="shared" si="41"/>
        <v>0.51089977539999998</v>
      </c>
      <c r="AR75" s="8">
        <f t="shared" si="42"/>
        <v>17700</v>
      </c>
      <c r="AS75" s="8">
        <f t="shared" si="50"/>
        <v>265500</v>
      </c>
      <c r="AT75" s="8">
        <f t="shared" si="43"/>
        <v>256457.07397542</v>
      </c>
      <c r="AU75" s="8">
        <f t="shared" si="44"/>
        <v>-61784.906429646391</v>
      </c>
      <c r="AV75" s="8">
        <f t="shared" si="45"/>
        <v>0</v>
      </c>
    </row>
    <row r="76" spans="15:48" x14ac:dyDescent="0.25">
      <c r="O76" s="6">
        <v>2006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6">
        <v>2006</v>
      </c>
      <c r="AC76" s="8">
        <f t="shared" si="36"/>
        <v>24203</v>
      </c>
      <c r="AD76" s="8"/>
      <c r="AE76" s="6">
        <v>2006</v>
      </c>
      <c r="AF76" s="8">
        <f t="shared" si="46"/>
        <v>26229</v>
      </c>
      <c r="AG76" s="8">
        <f t="shared" si="47"/>
        <v>174.84966598</v>
      </c>
      <c r="AH76" s="15">
        <f t="shared" si="37"/>
        <v>0.24849665980000002</v>
      </c>
      <c r="AI76" s="8">
        <v>500</v>
      </c>
      <c r="AJ76" s="8">
        <f t="shared" si="49"/>
        <v>7500</v>
      </c>
      <c r="AK76" s="8">
        <f t="shared" si="38"/>
        <v>7375.7516701000004</v>
      </c>
      <c r="AL76" s="8">
        <f t="shared" si="39"/>
        <v>18853.248329900001</v>
      </c>
      <c r="AM76" s="11"/>
      <c r="AN76" s="6">
        <v>2006</v>
      </c>
      <c r="AO76" s="8">
        <f t="shared" si="48"/>
        <v>95554</v>
      </c>
      <c r="AP76" s="11">
        <f t="shared" si="40"/>
        <v>174.84966598</v>
      </c>
      <c r="AQ76" s="15">
        <f t="shared" si="41"/>
        <v>0.24849665980000002</v>
      </c>
      <c r="AR76" s="8">
        <f t="shared" si="42"/>
        <v>3270</v>
      </c>
      <c r="AS76" s="8">
        <f t="shared" si="50"/>
        <v>49050</v>
      </c>
      <c r="AT76" s="8">
        <f t="shared" si="43"/>
        <v>48237.415922453998</v>
      </c>
      <c r="AU76" s="8">
        <f t="shared" si="44"/>
        <v>47316.584077546002</v>
      </c>
      <c r="AV76" s="8">
        <f t="shared" si="45"/>
        <v>47316.584077546002</v>
      </c>
    </row>
    <row r="77" spans="15:48" x14ac:dyDescent="0.25">
      <c r="O77" s="6">
        <v>2007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98403</v>
      </c>
      <c r="AB77" s="6">
        <v>2007</v>
      </c>
      <c r="AC77" s="8">
        <f t="shared" si="36"/>
        <v>0</v>
      </c>
      <c r="AD77" s="8"/>
      <c r="AE77" s="6">
        <v>2007</v>
      </c>
      <c r="AF77" s="8">
        <f t="shared" si="46"/>
        <v>18853.248329900001</v>
      </c>
      <c r="AG77" s="8">
        <f t="shared" si="47"/>
        <v>419.026726048</v>
      </c>
      <c r="AH77" s="15">
        <f t="shared" si="37"/>
        <v>2.6902672604799998</v>
      </c>
      <c r="AI77" s="8">
        <v>50</v>
      </c>
      <c r="AJ77" s="8">
        <f t="shared" si="49"/>
        <v>750</v>
      </c>
      <c r="AK77" s="8">
        <f t="shared" si="38"/>
        <v>615.486636976</v>
      </c>
      <c r="AL77" s="8">
        <f t="shared" si="39"/>
        <v>18237.761692924003</v>
      </c>
      <c r="AM77" s="11"/>
      <c r="AN77" s="6">
        <v>2007</v>
      </c>
      <c r="AO77" s="8">
        <f t="shared" si="48"/>
        <v>140171.58407754599</v>
      </c>
      <c r="AP77" s="11">
        <f t="shared" si="40"/>
        <v>419.026726048</v>
      </c>
      <c r="AQ77" s="15">
        <f t="shared" si="41"/>
        <v>2.6902672604799998</v>
      </c>
      <c r="AR77" s="8">
        <f t="shared" si="42"/>
        <v>3250</v>
      </c>
      <c r="AS77" s="8">
        <f t="shared" si="50"/>
        <v>48750</v>
      </c>
      <c r="AT77" s="8">
        <f t="shared" si="43"/>
        <v>40006.631403439998</v>
      </c>
      <c r="AU77" s="8">
        <f t="shared" si="44"/>
        <v>100164.952674106</v>
      </c>
      <c r="AV77" s="8">
        <f t="shared" si="45"/>
        <v>100164.952674106</v>
      </c>
    </row>
    <row r="78" spans="15:48" x14ac:dyDescent="0.25">
      <c r="O78" s="6">
        <v>2008</v>
      </c>
      <c r="P78" s="7">
        <v>83580</v>
      </c>
      <c r="Q78" s="7">
        <v>77105</v>
      </c>
      <c r="R78" s="7">
        <v>635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6">
        <v>2008</v>
      </c>
      <c r="AC78" s="8">
        <f t="shared" si="36"/>
        <v>259723</v>
      </c>
      <c r="AD78" s="8"/>
      <c r="AE78" s="6">
        <v>2008</v>
      </c>
      <c r="AF78" s="8">
        <f t="shared" si="46"/>
        <v>323378.76169292402</v>
      </c>
      <c r="AG78" s="8">
        <f t="shared" si="47"/>
        <v>241.71982169099999</v>
      </c>
      <c r="AH78" s="15">
        <f t="shared" si="37"/>
        <v>0.91719821691000014</v>
      </c>
      <c r="AI78" s="8">
        <v>12210</v>
      </c>
      <c r="AJ78" s="8">
        <f t="shared" si="49"/>
        <v>183150</v>
      </c>
      <c r="AK78" s="8">
        <f t="shared" si="38"/>
        <v>171951.00977152889</v>
      </c>
      <c r="AL78" s="8">
        <f t="shared" si="39"/>
        <v>151427.75192139513</v>
      </c>
      <c r="AM78" s="11"/>
      <c r="AN78" s="6">
        <v>2008</v>
      </c>
      <c r="AO78" s="8">
        <f t="shared" si="48"/>
        <v>419182.952674106</v>
      </c>
      <c r="AP78" s="11">
        <f t="shared" si="40"/>
        <v>241.71982169099999</v>
      </c>
      <c r="AQ78" s="15">
        <f t="shared" si="41"/>
        <v>0.91719821691000014</v>
      </c>
      <c r="AR78" s="8">
        <f t="shared" si="42"/>
        <v>8810</v>
      </c>
      <c r="AS78" s="8">
        <f t="shared" si="50"/>
        <v>132150</v>
      </c>
      <c r="AT78" s="8">
        <f t="shared" si="43"/>
        <v>124069.4837090229</v>
      </c>
      <c r="AU78" s="8">
        <f t="shared" si="44"/>
        <v>295113.46896508313</v>
      </c>
      <c r="AV78" s="8">
        <f t="shared" si="45"/>
        <v>295113.46896508313</v>
      </c>
    </row>
    <row r="79" spans="15:48" x14ac:dyDescent="0.25">
      <c r="O79" s="6">
        <v>2009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6">
        <v>2009</v>
      </c>
      <c r="AC79" s="8">
        <f t="shared" si="36"/>
        <v>0</v>
      </c>
      <c r="AD79" s="8"/>
      <c r="AE79" s="6">
        <v>2009</v>
      </c>
      <c r="AF79" s="8">
        <f t="shared" si="46"/>
        <v>151427.75192139513</v>
      </c>
      <c r="AG79" s="8">
        <f t="shared" si="47"/>
        <v>450.84031166</v>
      </c>
      <c r="AH79" s="15">
        <f t="shared" si="37"/>
        <v>3.0084031166000003</v>
      </c>
      <c r="AI79" s="8">
        <v>2000</v>
      </c>
      <c r="AJ79" s="8">
        <f t="shared" si="49"/>
        <v>30000</v>
      </c>
      <c r="AK79" s="8">
        <f t="shared" si="38"/>
        <v>23983.193766799999</v>
      </c>
      <c r="AL79" s="8">
        <f t="shared" si="39"/>
        <v>127444.55815459513</v>
      </c>
      <c r="AM79" s="11"/>
      <c r="AN79" s="6">
        <v>2009</v>
      </c>
      <c r="AO79" s="8">
        <f t="shared" si="48"/>
        <v>391500.46896508313</v>
      </c>
      <c r="AP79" s="11">
        <f t="shared" si="40"/>
        <v>450.84031166</v>
      </c>
      <c r="AQ79" s="15">
        <f t="shared" si="41"/>
        <v>3.0084031166000003</v>
      </c>
      <c r="AR79" s="8">
        <f t="shared" si="42"/>
        <v>8500</v>
      </c>
      <c r="AS79" s="8">
        <f t="shared" si="50"/>
        <v>127500</v>
      </c>
      <c r="AT79" s="8">
        <f t="shared" si="43"/>
        <v>101928.57350889999</v>
      </c>
      <c r="AU79" s="8">
        <f t="shared" si="44"/>
        <v>289571.89545618312</v>
      </c>
      <c r="AV79" s="8">
        <f t="shared" si="45"/>
        <v>289571.89545618312</v>
      </c>
    </row>
    <row r="80" spans="15:48" x14ac:dyDescent="0.25">
      <c r="O80" s="6">
        <v>2010</v>
      </c>
      <c r="P80" s="7">
        <v>0</v>
      </c>
      <c r="Q80" s="7">
        <v>132373</v>
      </c>
      <c r="R80" s="7">
        <v>257480</v>
      </c>
      <c r="S80" s="7">
        <v>266</v>
      </c>
      <c r="T80" s="7">
        <v>0</v>
      </c>
      <c r="U80" s="7">
        <v>0</v>
      </c>
      <c r="V80" s="7">
        <v>0</v>
      </c>
      <c r="W80" s="7">
        <v>0</v>
      </c>
      <c r="X80" s="7">
        <v>2075</v>
      </c>
      <c r="Y80" s="7">
        <v>89349</v>
      </c>
      <c r="Z80" s="7">
        <v>13671</v>
      </c>
      <c r="AA80" s="7">
        <v>69254</v>
      </c>
      <c r="AB80" s="6">
        <v>2010</v>
      </c>
      <c r="AC80" s="8">
        <f t="shared" si="36"/>
        <v>481543</v>
      </c>
      <c r="AD80" s="8"/>
      <c r="AE80" s="6">
        <v>2010</v>
      </c>
      <c r="AF80" s="8">
        <f t="shared" si="46"/>
        <v>921260.55815459508</v>
      </c>
      <c r="AG80" s="8">
        <f t="shared" si="47"/>
        <v>307.69532291000002</v>
      </c>
      <c r="AH80" s="15">
        <f t="shared" si="37"/>
        <v>1.5769532291000004</v>
      </c>
      <c r="AI80" s="8">
        <v>31000</v>
      </c>
      <c r="AJ80" s="8">
        <f t="shared" si="49"/>
        <v>465000</v>
      </c>
      <c r="AK80" s="8">
        <f t="shared" si="38"/>
        <v>416114.44989789999</v>
      </c>
      <c r="AL80" s="8">
        <f t="shared" si="39"/>
        <v>505146.10825669509</v>
      </c>
      <c r="AM80" s="11"/>
      <c r="AN80" s="6">
        <v>2010</v>
      </c>
      <c r="AO80" s="8">
        <f t="shared" si="48"/>
        <v>607931.89545618312</v>
      </c>
      <c r="AP80" s="11">
        <f t="shared" si="40"/>
        <v>307.69532291000002</v>
      </c>
      <c r="AQ80" s="15">
        <f t="shared" si="41"/>
        <v>1.5769532291000004</v>
      </c>
      <c r="AR80" s="8">
        <f t="shared" si="42"/>
        <v>27800</v>
      </c>
      <c r="AS80" s="8">
        <f t="shared" si="50"/>
        <v>417000</v>
      </c>
      <c r="AT80" s="8">
        <f t="shared" si="43"/>
        <v>373160.70023101999</v>
      </c>
      <c r="AU80" s="8">
        <f t="shared" si="44"/>
        <v>234771.19522516313</v>
      </c>
      <c r="AV80" s="8">
        <f t="shared" si="45"/>
        <v>234771.19522516313</v>
      </c>
    </row>
    <row r="81" spans="15:50" x14ac:dyDescent="0.25">
      <c r="O81" s="6">
        <v>2011</v>
      </c>
      <c r="P81" s="7">
        <v>71248</v>
      </c>
      <c r="Q81" s="7">
        <v>66986</v>
      </c>
      <c r="R81" s="7">
        <v>36333</v>
      </c>
      <c r="S81" s="7">
        <v>18819</v>
      </c>
      <c r="T81" s="7">
        <v>2127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102906</v>
      </c>
      <c r="AB81" s="6">
        <v>2011</v>
      </c>
      <c r="AC81" s="8">
        <f t="shared" si="36"/>
        <v>278438</v>
      </c>
      <c r="AD81" s="8"/>
      <c r="AE81" s="6">
        <v>2011</v>
      </c>
      <c r="AF81" s="8">
        <f t="shared" si="46"/>
        <v>879923.10825669509</v>
      </c>
      <c r="AG81" s="8">
        <f t="shared" si="47"/>
        <v>554.97015632</v>
      </c>
      <c r="AH81" s="15">
        <f t="shared" si="37"/>
        <v>4.0497015632000002</v>
      </c>
      <c r="AI81" s="8">
        <v>30000</v>
      </c>
      <c r="AJ81" s="8">
        <f t="shared" si="49"/>
        <v>450000</v>
      </c>
      <c r="AK81" s="8">
        <f t="shared" si="38"/>
        <v>328508.95310400001</v>
      </c>
      <c r="AL81" s="8">
        <f t="shared" si="39"/>
        <v>551414.15515269502</v>
      </c>
      <c r="AM81" s="11"/>
      <c r="AN81" s="6">
        <v>2011</v>
      </c>
      <c r="AO81" s="8">
        <f t="shared" si="48"/>
        <v>589388.19522516313</v>
      </c>
      <c r="AP81" s="11">
        <f t="shared" si="40"/>
        <v>554.97015632</v>
      </c>
      <c r="AQ81" s="15">
        <f t="shared" si="41"/>
        <v>4.0497015632000002</v>
      </c>
      <c r="AR81" s="8">
        <f t="shared" si="42"/>
        <v>25500</v>
      </c>
      <c r="AS81" s="8">
        <f t="shared" si="50"/>
        <v>382500</v>
      </c>
      <c r="AT81" s="8">
        <f t="shared" si="43"/>
        <v>279232.61013839999</v>
      </c>
      <c r="AU81" s="8">
        <f t="shared" si="44"/>
        <v>310155.58508676314</v>
      </c>
      <c r="AV81" s="8">
        <f t="shared" si="45"/>
        <v>310155.58508676314</v>
      </c>
    </row>
    <row r="82" spans="15:50" x14ac:dyDescent="0.25">
      <c r="O82" s="6">
        <v>2012</v>
      </c>
      <c r="P82" s="7">
        <v>2413</v>
      </c>
      <c r="Q82" s="7">
        <v>37339</v>
      </c>
      <c r="R82" s="7">
        <v>1742</v>
      </c>
      <c r="S82" s="7">
        <v>487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6">
        <v>2012</v>
      </c>
      <c r="AC82" s="8">
        <f t="shared" si="36"/>
        <v>144887</v>
      </c>
      <c r="AD82" s="8"/>
      <c r="AE82" s="6">
        <v>2012</v>
      </c>
      <c r="AF82" s="8">
        <f t="shared" si="46"/>
        <v>792661.15515269502</v>
      </c>
      <c r="AG82" s="8">
        <f t="shared" si="47"/>
        <v>187.36971038999999</v>
      </c>
      <c r="AH82" s="15">
        <f t="shared" si="37"/>
        <v>0.37369710389999988</v>
      </c>
      <c r="AI82" s="8">
        <v>30965</v>
      </c>
      <c r="AJ82" s="8">
        <f t="shared" si="49"/>
        <v>464475</v>
      </c>
      <c r="AK82" s="8">
        <f t="shared" si="38"/>
        <v>452903.46917773649</v>
      </c>
      <c r="AL82" s="8">
        <f t="shared" si="39"/>
        <v>339757.68597495853</v>
      </c>
      <c r="AM82" s="11"/>
      <c r="AN82" s="6">
        <v>2012</v>
      </c>
      <c r="AO82" s="8">
        <f t="shared" si="48"/>
        <v>636384.58508676314</v>
      </c>
      <c r="AP82" s="11">
        <f t="shared" si="40"/>
        <v>187.36971038999999</v>
      </c>
      <c r="AQ82" s="15">
        <f t="shared" si="41"/>
        <v>0.37369710389999988</v>
      </c>
      <c r="AR82" s="8">
        <f t="shared" si="42"/>
        <v>24220</v>
      </c>
      <c r="AS82" s="8">
        <f t="shared" si="50"/>
        <v>363300</v>
      </c>
      <c r="AT82" s="8">
        <f t="shared" si="43"/>
        <v>354249.05614354199</v>
      </c>
      <c r="AU82" s="8">
        <f t="shared" si="44"/>
        <v>282135.52894322114</v>
      </c>
      <c r="AV82" s="8">
        <f t="shared" si="45"/>
        <v>282135.52894322114</v>
      </c>
    </row>
    <row r="83" spans="15:50" x14ac:dyDescent="0.25">
      <c r="O83" s="6">
        <v>2013</v>
      </c>
      <c r="P83" s="7">
        <v>0</v>
      </c>
      <c r="Q83" s="7">
        <v>221538</v>
      </c>
      <c r="R83" s="7">
        <v>91872</v>
      </c>
      <c r="S83" s="7">
        <v>567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6">
        <v>2013</v>
      </c>
      <c r="AC83" s="8">
        <f t="shared" si="36"/>
        <v>313977</v>
      </c>
      <c r="AD83" s="8"/>
      <c r="AE83" s="6">
        <v>2013</v>
      </c>
      <c r="AF83" s="8">
        <f t="shared" si="46"/>
        <v>926051.68597495859</v>
      </c>
      <c r="AG83" s="8">
        <f t="shared" si="47"/>
        <v>181.464810758</v>
      </c>
      <c r="AH83" s="15">
        <f t="shared" si="37"/>
        <v>0.31464810758000006</v>
      </c>
      <c r="AI83" s="8">
        <v>28300</v>
      </c>
      <c r="AJ83" s="8">
        <f t="shared" si="49"/>
        <v>424500</v>
      </c>
      <c r="AK83" s="8">
        <f t="shared" si="38"/>
        <v>415595.458555486</v>
      </c>
      <c r="AL83" s="8">
        <f t="shared" si="39"/>
        <v>510456.22741947259</v>
      </c>
      <c r="AM83" s="11"/>
      <c r="AN83" s="6">
        <v>2013</v>
      </c>
      <c r="AO83" s="8">
        <f t="shared" si="48"/>
        <v>665773.52894322108</v>
      </c>
      <c r="AP83" s="11">
        <f t="shared" si="40"/>
        <v>181.464810758</v>
      </c>
      <c r="AQ83" s="15">
        <f t="shared" si="41"/>
        <v>0.31464810758000006</v>
      </c>
      <c r="AR83" s="8">
        <f t="shared" si="42"/>
        <v>21300</v>
      </c>
      <c r="AS83" s="8">
        <f t="shared" si="50"/>
        <v>319500</v>
      </c>
      <c r="AT83" s="8">
        <f t="shared" si="43"/>
        <v>312797.995308546</v>
      </c>
      <c r="AU83" s="8">
        <f t="shared" si="44"/>
        <v>352975.53363467508</v>
      </c>
      <c r="AV83" s="8">
        <f t="shared" si="45"/>
        <v>352975.53363467508</v>
      </c>
    </row>
    <row r="84" spans="15:50" x14ac:dyDescent="0.25">
      <c r="O84" s="6">
        <v>2014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/>
      <c r="W84" s="7"/>
      <c r="X84" s="7"/>
      <c r="Y84" s="7"/>
      <c r="Z84" s="7"/>
      <c r="AA84" s="7"/>
      <c r="AB84" s="6">
        <v>2014</v>
      </c>
      <c r="AC84" s="8">
        <f t="shared" si="36"/>
        <v>0</v>
      </c>
      <c r="AD84" s="8"/>
      <c r="AE84" s="6">
        <v>2014</v>
      </c>
      <c r="AF84" s="8">
        <f t="shared" si="46"/>
        <v>510456.22741947259</v>
      </c>
      <c r="AG84" s="8">
        <f t="shared" si="47"/>
        <v>0</v>
      </c>
      <c r="AH84" s="15">
        <f t="shared" si="37"/>
        <v>-1.5</v>
      </c>
    </row>
    <row r="86" spans="15:50" x14ac:dyDescent="0.25">
      <c r="O86" s="1" t="s">
        <v>21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5:50" x14ac:dyDescent="0.25">
      <c r="O87" s="1"/>
      <c r="P87" s="5" t="s">
        <v>1</v>
      </c>
      <c r="Q87" s="5" t="s">
        <v>2</v>
      </c>
      <c r="R87" s="5" t="s">
        <v>3</v>
      </c>
      <c r="S87" s="5" t="s">
        <v>4</v>
      </c>
      <c r="T87" s="5" t="s">
        <v>5</v>
      </c>
      <c r="U87" s="5" t="s">
        <v>6</v>
      </c>
      <c r="V87" s="5" t="s">
        <v>7</v>
      </c>
      <c r="W87" s="5" t="s">
        <v>8</v>
      </c>
      <c r="X87" s="5" t="s">
        <v>9</v>
      </c>
      <c r="Y87" s="5" t="s">
        <v>10</v>
      </c>
      <c r="Z87" s="5" t="s">
        <v>11</v>
      </c>
      <c r="AA87" s="5" t="s">
        <v>12</v>
      </c>
      <c r="AB87" s="5" t="s">
        <v>42</v>
      </c>
      <c r="AC87" s="5" t="s">
        <v>41</v>
      </c>
      <c r="AD87" s="5"/>
      <c r="AE87" s="14" t="s">
        <v>62</v>
      </c>
      <c r="AH87" t="s">
        <v>71</v>
      </c>
    </row>
    <row r="88" spans="15:50" x14ac:dyDescent="0.25">
      <c r="O88" s="1">
        <v>1997</v>
      </c>
      <c r="P88" s="13">
        <v>0</v>
      </c>
      <c r="Q88" s="13">
        <v>30520</v>
      </c>
      <c r="R88" s="13">
        <v>12747</v>
      </c>
      <c r="S88" s="13">
        <v>612</v>
      </c>
      <c r="T88" s="13">
        <v>88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5"/>
      <c r="AC88" s="5"/>
      <c r="AD88" s="5"/>
      <c r="AE88" s="5" t="s">
        <v>43</v>
      </c>
      <c r="AF88" s="16" t="s">
        <v>63</v>
      </c>
      <c r="AG88" s="16" t="s">
        <v>65</v>
      </c>
      <c r="AH88" s="5" t="s">
        <v>67</v>
      </c>
      <c r="AI88" s="5" t="s">
        <v>68</v>
      </c>
      <c r="AJ88" s="5" t="s">
        <v>69</v>
      </c>
      <c r="AL88" s="14"/>
      <c r="AR88" s="14"/>
    </row>
    <row r="89" spans="15:50" x14ac:dyDescent="0.25">
      <c r="O89" s="1">
        <v>1998</v>
      </c>
      <c r="P89" s="7">
        <v>0</v>
      </c>
      <c r="Q89" s="7">
        <v>12414</v>
      </c>
      <c r="R89" s="7">
        <v>1296</v>
      </c>
      <c r="S89" s="7">
        <v>0</v>
      </c>
      <c r="T89" s="7">
        <v>2463</v>
      </c>
      <c r="U89" s="7">
        <v>313</v>
      </c>
      <c r="V89" s="7">
        <v>0</v>
      </c>
      <c r="W89" s="7">
        <v>0</v>
      </c>
      <c r="X89" s="7">
        <v>116987</v>
      </c>
      <c r="Y89" s="7">
        <v>1483</v>
      </c>
      <c r="Z89" s="7">
        <v>340</v>
      </c>
      <c r="AA89" s="7">
        <v>0</v>
      </c>
      <c r="AB89" s="4">
        <v>1998</v>
      </c>
      <c r="AC89" s="8">
        <f t="shared" ref="AC89:AC104" si="51">Z88+AA88+SUM(P89:Y89)</f>
        <v>134956</v>
      </c>
      <c r="AE89" s="16"/>
      <c r="AF89" s="16" t="s">
        <v>64</v>
      </c>
      <c r="AG89" s="16" t="s">
        <v>66</v>
      </c>
      <c r="AH89" s="16" t="s">
        <v>66</v>
      </c>
      <c r="AI89" s="16" t="s">
        <v>66</v>
      </c>
      <c r="AJ89" s="16" t="s">
        <v>70</v>
      </c>
      <c r="AL89" s="16" t="s">
        <v>72</v>
      </c>
      <c r="AM89" s="16" t="s">
        <v>73</v>
      </c>
      <c r="AN89" s="16" t="s">
        <v>67</v>
      </c>
      <c r="AO89" s="16" t="s">
        <v>68</v>
      </c>
      <c r="AP89" s="16" t="s">
        <v>69</v>
      </c>
      <c r="AQ89" s="16" t="s">
        <v>74</v>
      </c>
      <c r="AR89" s="16"/>
      <c r="AS89" s="16"/>
      <c r="AT89" s="16"/>
      <c r="AU89" s="16"/>
      <c r="AV89" s="16"/>
      <c r="AX89" s="16"/>
    </row>
    <row r="90" spans="15:50" x14ac:dyDescent="0.25">
      <c r="O90" s="6">
        <v>1999</v>
      </c>
      <c r="P90" s="7">
        <v>0</v>
      </c>
      <c r="Q90" s="7">
        <v>12153</v>
      </c>
      <c r="R90" s="7">
        <v>19106</v>
      </c>
      <c r="S90" s="7">
        <v>383</v>
      </c>
      <c r="T90" s="7">
        <v>295</v>
      </c>
      <c r="U90" s="7">
        <v>185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10">
        <v>1999</v>
      </c>
      <c r="AC90" s="8">
        <f t="shared" si="51"/>
        <v>32462</v>
      </c>
      <c r="AE90" s="10">
        <v>1999</v>
      </c>
      <c r="AF90" s="8">
        <f t="shared" ref="AF90:AF104" si="52">IF(AL68&gt;0,AL68,0)</f>
        <v>292683.62807700003</v>
      </c>
      <c r="AG90" s="11">
        <f t="shared" ref="AG90:AG104" si="53">(SUM(B5:G5))-150</f>
        <v>226.26993331</v>
      </c>
      <c r="AH90" s="8">
        <f t="shared" ref="AH90:AH104" si="54">AC69</f>
        <v>198344</v>
      </c>
      <c r="AI90" s="8">
        <f t="shared" ref="AI90:AI104" si="55">AC90</f>
        <v>32462</v>
      </c>
      <c r="AJ90" s="8">
        <v>22000</v>
      </c>
      <c r="AL90" s="8">
        <f t="shared" ref="AL90:AP91" si="56">AF90</f>
        <v>292683.62807700003</v>
      </c>
      <c r="AM90" s="8">
        <f t="shared" si="56"/>
        <v>226.26993331</v>
      </c>
      <c r="AN90" s="8">
        <f t="shared" si="56"/>
        <v>198344</v>
      </c>
      <c r="AO90" s="8">
        <f t="shared" si="56"/>
        <v>32462</v>
      </c>
      <c r="AP90" s="8">
        <f t="shared" si="56"/>
        <v>22000</v>
      </c>
      <c r="AQ90" s="8">
        <f t="shared" ref="AQ90:AQ104" si="57">($AO$106*AL90)+($AN$106*AM90)+($AM$106*AN90)</f>
        <v>24966.021834753301</v>
      </c>
      <c r="AR90" s="8"/>
      <c r="AS90" s="17"/>
      <c r="AT90" s="17"/>
      <c r="AU90" s="17"/>
      <c r="AV90" s="17"/>
      <c r="AX90" s="8"/>
    </row>
    <row r="91" spans="15:50" x14ac:dyDescent="0.25">
      <c r="O91" s="6">
        <v>2000</v>
      </c>
      <c r="P91" s="7">
        <v>1682</v>
      </c>
      <c r="Q91" s="7">
        <v>966</v>
      </c>
      <c r="R91" s="7">
        <v>827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3836</v>
      </c>
      <c r="AA91" s="7">
        <v>1481</v>
      </c>
      <c r="AB91" s="10">
        <v>2000</v>
      </c>
      <c r="AC91" s="8">
        <f t="shared" si="51"/>
        <v>3475</v>
      </c>
      <c r="AD91" s="8"/>
      <c r="AE91" s="10">
        <v>2000</v>
      </c>
      <c r="AF91" s="8">
        <f t="shared" si="52"/>
        <v>297634.34521060006</v>
      </c>
      <c r="AG91" s="11">
        <f t="shared" si="53"/>
        <v>98.932516719999967</v>
      </c>
      <c r="AH91" s="8">
        <f t="shared" si="54"/>
        <v>35701</v>
      </c>
      <c r="AI91" s="8">
        <f t="shared" si="55"/>
        <v>3475</v>
      </c>
      <c r="AJ91" s="8">
        <v>25687</v>
      </c>
      <c r="AL91" s="8">
        <f t="shared" si="56"/>
        <v>297634.34521060006</v>
      </c>
      <c r="AM91" s="8">
        <f t="shared" si="56"/>
        <v>98.932516719999967</v>
      </c>
      <c r="AN91" s="8">
        <f t="shared" si="56"/>
        <v>35701</v>
      </c>
      <c r="AO91" s="8">
        <f t="shared" si="56"/>
        <v>3475</v>
      </c>
      <c r="AP91" s="8">
        <f t="shared" si="56"/>
        <v>25687</v>
      </c>
      <c r="AQ91" s="8">
        <f t="shared" si="57"/>
        <v>14903.623546705425</v>
      </c>
      <c r="AR91" s="8"/>
      <c r="AS91" s="17"/>
      <c r="AT91" s="17"/>
      <c r="AU91" s="17"/>
      <c r="AV91" s="17"/>
      <c r="AX91" s="8"/>
    </row>
    <row r="92" spans="15:50" x14ac:dyDescent="0.25">
      <c r="O92" s="6">
        <v>2001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10">
        <v>2001</v>
      </c>
      <c r="AC92" s="8">
        <f t="shared" si="51"/>
        <v>5317</v>
      </c>
      <c r="AD92" s="8"/>
      <c r="AE92" s="10">
        <v>2001</v>
      </c>
      <c r="AF92" s="8">
        <f t="shared" si="52"/>
        <v>65688.293710243306</v>
      </c>
      <c r="AG92" s="11">
        <f t="shared" si="53"/>
        <v>73.956124530000011</v>
      </c>
      <c r="AH92" s="8">
        <f t="shared" si="54"/>
        <v>76645</v>
      </c>
      <c r="AI92" s="8">
        <f t="shared" si="55"/>
        <v>5317</v>
      </c>
      <c r="AJ92" s="8">
        <v>10000</v>
      </c>
      <c r="AL92" s="8">
        <v>0</v>
      </c>
      <c r="AM92" s="8">
        <f>AG92</f>
        <v>73.956124530000011</v>
      </c>
      <c r="AN92" s="8">
        <f>AH92</f>
        <v>76645</v>
      </c>
      <c r="AO92" s="8">
        <f>AI92</f>
        <v>5317</v>
      </c>
      <c r="AP92" s="8">
        <f>AJ92</f>
        <v>10000</v>
      </c>
      <c r="AQ92" s="8">
        <f t="shared" si="57"/>
        <v>5170.3188843358148</v>
      </c>
      <c r="AR92" s="8"/>
      <c r="AS92" s="17"/>
      <c r="AT92" s="17"/>
      <c r="AU92" s="17"/>
      <c r="AV92" s="17"/>
      <c r="AX92" s="8"/>
    </row>
    <row r="93" spans="15:50" x14ac:dyDescent="0.25">
      <c r="O93" s="6">
        <v>2002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6">
        <v>2002</v>
      </c>
      <c r="AC93" s="8">
        <f t="shared" si="51"/>
        <v>0</v>
      </c>
      <c r="AD93" s="8"/>
      <c r="AE93" s="6">
        <v>2002</v>
      </c>
      <c r="AF93" s="8">
        <f t="shared" si="52"/>
        <v>29937.598853243311</v>
      </c>
      <c r="AG93" s="11">
        <f t="shared" si="53"/>
        <v>1.5469934489999844</v>
      </c>
      <c r="AH93" s="8">
        <f t="shared" si="54"/>
        <v>0</v>
      </c>
      <c r="AI93" s="8">
        <f t="shared" si="55"/>
        <v>0</v>
      </c>
      <c r="AJ93" s="8">
        <v>0</v>
      </c>
      <c r="AL93" s="8">
        <v>0</v>
      </c>
      <c r="AM93" s="8">
        <f t="shared" ref="AM93:AM104" si="58">AG93</f>
        <v>1.5469934489999844</v>
      </c>
      <c r="AN93" s="8">
        <v>0</v>
      </c>
      <c r="AO93" s="8">
        <v>0</v>
      </c>
      <c r="AP93" s="8">
        <v>0</v>
      </c>
      <c r="AQ93" s="8">
        <f t="shared" si="57"/>
        <v>38.032500606622996</v>
      </c>
      <c r="AR93" s="8"/>
      <c r="AS93" s="17"/>
      <c r="AT93" s="17"/>
      <c r="AU93" s="17"/>
      <c r="AV93" s="17"/>
      <c r="AX93" s="8"/>
    </row>
    <row r="94" spans="15:50" x14ac:dyDescent="0.25">
      <c r="O94" s="6">
        <v>2003</v>
      </c>
      <c r="P94" s="7">
        <v>0</v>
      </c>
      <c r="Q94" s="7">
        <v>0</v>
      </c>
      <c r="R94" s="7">
        <v>0</v>
      </c>
      <c r="S94" s="7">
        <v>684</v>
      </c>
      <c r="T94" s="7">
        <v>1141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1099</v>
      </c>
      <c r="AB94" s="6">
        <v>2003</v>
      </c>
      <c r="AC94" s="8">
        <f t="shared" si="51"/>
        <v>1825</v>
      </c>
      <c r="AD94" s="8"/>
      <c r="AE94" s="6">
        <v>2003</v>
      </c>
      <c r="AF94" s="8">
        <f t="shared" si="52"/>
        <v>29937.598853243311</v>
      </c>
      <c r="AG94" s="11">
        <f t="shared" si="53"/>
        <v>68.095768368999984</v>
      </c>
      <c r="AH94" s="8">
        <f t="shared" si="54"/>
        <v>15945</v>
      </c>
      <c r="AI94" s="8">
        <f t="shared" si="55"/>
        <v>1825</v>
      </c>
      <c r="AJ94" s="8">
        <v>1000</v>
      </c>
      <c r="AL94" s="8">
        <v>0</v>
      </c>
      <c r="AM94" s="8">
        <f t="shared" si="58"/>
        <v>68.095768368999984</v>
      </c>
      <c r="AN94" s="8">
        <f t="shared" ref="AN94:AP97" si="59">AH94</f>
        <v>15945</v>
      </c>
      <c r="AO94" s="8">
        <f t="shared" si="59"/>
        <v>1825</v>
      </c>
      <c r="AP94" s="8">
        <f t="shared" si="59"/>
        <v>1000</v>
      </c>
      <c r="AQ94" s="8">
        <f t="shared" si="57"/>
        <v>2371.4856895595535</v>
      </c>
      <c r="AR94" s="8"/>
      <c r="AS94" s="17"/>
      <c r="AT94" s="17"/>
      <c r="AU94" s="17"/>
      <c r="AV94" s="17"/>
      <c r="AX94" s="8"/>
    </row>
    <row r="95" spans="15:50" x14ac:dyDescent="0.25">
      <c r="O95" s="6">
        <v>2004</v>
      </c>
      <c r="P95" s="7">
        <v>60722</v>
      </c>
      <c r="Q95" s="7">
        <v>5982</v>
      </c>
      <c r="R95" s="7">
        <v>2241</v>
      </c>
      <c r="S95" s="7">
        <v>15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238</v>
      </c>
      <c r="AB95" s="6">
        <v>2004</v>
      </c>
      <c r="AC95" s="8">
        <f t="shared" si="51"/>
        <v>70059</v>
      </c>
      <c r="AD95" s="8"/>
      <c r="AE95" s="6">
        <v>2004</v>
      </c>
      <c r="AF95" s="8">
        <f t="shared" si="52"/>
        <v>35017.01310954331</v>
      </c>
      <c r="AG95" s="11">
        <f t="shared" si="53"/>
        <v>186.69643667899999</v>
      </c>
      <c r="AH95" s="8">
        <f t="shared" si="54"/>
        <v>208148</v>
      </c>
      <c r="AI95" s="8">
        <f t="shared" si="55"/>
        <v>70059</v>
      </c>
      <c r="AJ95" s="8">
        <v>20000</v>
      </c>
      <c r="AL95" s="8">
        <f>AF95</f>
        <v>35017.01310954331</v>
      </c>
      <c r="AM95" s="8">
        <f t="shared" si="58"/>
        <v>186.69643667899999</v>
      </c>
      <c r="AN95" s="8">
        <f t="shared" si="59"/>
        <v>208148</v>
      </c>
      <c r="AO95" s="8">
        <f t="shared" si="59"/>
        <v>70059</v>
      </c>
      <c r="AP95" s="8">
        <f t="shared" si="59"/>
        <v>20000</v>
      </c>
      <c r="AQ95" s="8">
        <f t="shared" si="57"/>
        <v>14976.963620348299</v>
      </c>
      <c r="AR95" s="8"/>
      <c r="AS95" s="17"/>
      <c r="AT95" s="17"/>
      <c r="AU95" s="17"/>
      <c r="AV95" s="17"/>
      <c r="AX95" s="8"/>
    </row>
    <row r="96" spans="15:50" x14ac:dyDescent="0.25">
      <c r="O96" s="6">
        <v>2005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762</v>
      </c>
      <c r="W96" s="7">
        <v>0</v>
      </c>
      <c r="X96" s="7">
        <v>0</v>
      </c>
      <c r="Y96" s="7">
        <v>0</v>
      </c>
      <c r="Z96" s="7">
        <v>0</v>
      </c>
      <c r="AA96" s="7">
        <v>1938</v>
      </c>
      <c r="AB96" s="6">
        <v>2005</v>
      </c>
      <c r="AC96" s="8">
        <f t="shared" si="51"/>
        <v>1000</v>
      </c>
      <c r="AD96" s="8"/>
      <c r="AE96" s="6">
        <v>2005</v>
      </c>
      <c r="AF96" s="8">
        <f t="shared" si="52"/>
        <v>41252.520913543296</v>
      </c>
      <c r="AG96" s="11">
        <f t="shared" si="53"/>
        <v>76.779510031000001</v>
      </c>
      <c r="AH96" s="8">
        <f t="shared" si="54"/>
        <v>11889</v>
      </c>
      <c r="AI96" s="8">
        <f t="shared" si="55"/>
        <v>1000</v>
      </c>
      <c r="AJ96" s="8">
        <v>4825</v>
      </c>
      <c r="AL96" s="8">
        <v>0</v>
      </c>
      <c r="AM96" s="8">
        <f t="shared" si="58"/>
        <v>76.779510031000001</v>
      </c>
      <c r="AN96" s="8">
        <f t="shared" si="59"/>
        <v>11889</v>
      </c>
      <c r="AO96" s="8">
        <f t="shared" si="59"/>
        <v>1000</v>
      </c>
      <c r="AP96" s="8">
        <f t="shared" si="59"/>
        <v>4825</v>
      </c>
      <c r="AQ96" s="8">
        <f t="shared" si="57"/>
        <v>2407.581567150085</v>
      </c>
      <c r="AR96" s="8"/>
      <c r="AS96" s="17"/>
      <c r="AT96" s="17"/>
      <c r="AU96" s="17"/>
      <c r="AV96" s="17"/>
      <c r="AX96" s="8"/>
    </row>
    <row r="97" spans="15:90" x14ac:dyDescent="0.25">
      <c r="O97" s="6">
        <v>2006</v>
      </c>
      <c r="P97" s="7">
        <v>88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6">
        <v>2006</v>
      </c>
      <c r="AC97" s="8">
        <f t="shared" si="51"/>
        <v>2026</v>
      </c>
      <c r="AD97" s="8"/>
      <c r="AE97" s="6">
        <v>2006</v>
      </c>
      <c r="AF97" s="8">
        <f t="shared" si="52"/>
        <v>0</v>
      </c>
      <c r="AG97" s="11">
        <f t="shared" si="53"/>
        <v>12.88485516099999</v>
      </c>
      <c r="AH97" s="8">
        <f t="shared" si="54"/>
        <v>24203</v>
      </c>
      <c r="AI97" s="8">
        <f t="shared" si="55"/>
        <v>2026</v>
      </c>
      <c r="AJ97" s="8">
        <v>500</v>
      </c>
      <c r="AL97" s="8">
        <v>0</v>
      </c>
      <c r="AM97" s="8">
        <f t="shared" si="58"/>
        <v>12.88485516099999</v>
      </c>
      <c r="AN97" s="8">
        <f t="shared" si="59"/>
        <v>24203</v>
      </c>
      <c r="AO97" s="8">
        <f t="shared" si="59"/>
        <v>2026</v>
      </c>
      <c r="AP97" s="8">
        <f t="shared" si="59"/>
        <v>500</v>
      </c>
      <c r="AQ97" s="8">
        <f t="shared" si="57"/>
        <v>1375.3067786302224</v>
      </c>
      <c r="AR97" s="8"/>
      <c r="AS97" s="17"/>
      <c r="AT97" s="17"/>
      <c r="AU97" s="17"/>
      <c r="AV97" s="17"/>
      <c r="AX97" s="8"/>
    </row>
    <row r="98" spans="15:90" x14ac:dyDescent="0.25">
      <c r="O98" s="6">
        <v>2007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5166</v>
      </c>
      <c r="AB98" s="6">
        <v>2007</v>
      </c>
      <c r="AC98" s="8">
        <f t="shared" si="51"/>
        <v>0</v>
      </c>
      <c r="AD98" s="8"/>
      <c r="AE98" s="6">
        <v>2007</v>
      </c>
      <c r="AF98" s="8">
        <f t="shared" si="52"/>
        <v>18853.248329900001</v>
      </c>
      <c r="AG98" s="11">
        <f t="shared" si="53"/>
        <v>43.116035670000002</v>
      </c>
      <c r="AH98" s="8">
        <f t="shared" si="54"/>
        <v>0</v>
      </c>
      <c r="AI98" s="8">
        <f t="shared" si="55"/>
        <v>0</v>
      </c>
      <c r="AJ98" s="8">
        <v>50</v>
      </c>
      <c r="AL98" s="8">
        <f t="shared" ref="AL98:AL104" si="60">AF98</f>
        <v>18853.248329900001</v>
      </c>
      <c r="AM98" s="8">
        <f t="shared" si="58"/>
        <v>43.116035670000002</v>
      </c>
      <c r="AN98" s="8">
        <v>0</v>
      </c>
      <c r="AO98" s="8">
        <v>0</v>
      </c>
      <c r="AP98" s="8">
        <f t="shared" ref="AP98:AP104" si="61">AJ98</f>
        <v>50</v>
      </c>
      <c r="AQ98" s="8">
        <f t="shared" si="57"/>
        <v>1751.0765167550512</v>
      </c>
      <c r="AR98" s="8"/>
      <c r="AS98" s="17"/>
      <c r="AT98" s="17"/>
      <c r="AU98" s="17"/>
      <c r="AV98" s="17"/>
      <c r="AX98" s="8"/>
    </row>
    <row r="99" spans="15:90" x14ac:dyDescent="0.25">
      <c r="O99" s="6">
        <v>2008</v>
      </c>
      <c r="P99" s="7">
        <v>35880</v>
      </c>
      <c r="Q99" s="7">
        <v>3492</v>
      </c>
      <c r="R99" s="7">
        <v>826</v>
      </c>
      <c r="S99" s="7">
        <v>54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6">
        <v>2008</v>
      </c>
      <c r="AC99" s="8">
        <f t="shared" si="51"/>
        <v>45418</v>
      </c>
      <c r="AD99" s="8"/>
      <c r="AE99" s="6">
        <v>2008</v>
      </c>
      <c r="AF99" s="8">
        <f t="shared" si="52"/>
        <v>18237.761692924003</v>
      </c>
      <c r="AG99" s="11">
        <f t="shared" si="53"/>
        <v>107.456570161</v>
      </c>
      <c r="AH99" s="8">
        <f t="shared" si="54"/>
        <v>259723</v>
      </c>
      <c r="AI99" s="8">
        <f t="shared" si="55"/>
        <v>45418</v>
      </c>
      <c r="AJ99" s="8">
        <v>12210</v>
      </c>
      <c r="AL99" s="8">
        <f t="shared" si="60"/>
        <v>18237.761692924003</v>
      </c>
      <c r="AM99" s="8">
        <f t="shared" si="58"/>
        <v>107.456570161</v>
      </c>
      <c r="AN99" s="8">
        <f>AH99</f>
        <v>259723</v>
      </c>
      <c r="AO99" s="8">
        <f>AI99</f>
        <v>45418</v>
      </c>
      <c r="AP99" s="8">
        <f t="shared" si="61"/>
        <v>12210</v>
      </c>
      <c r="AQ99" s="8">
        <f t="shared" si="57"/>
        <v>14669.483457600518</v>
      </c>
      <c r="AR99" s="8"/>
      <c r="AS99" s="17"/>
      <c r="AT99" s="17"/>
      <c r="AU99" s="17"/>
      <c r="AV99" s="17"/>
      <c r="AX99" s="8"/>
    </row>
    <row r="100" spans="15:90" x14ac:dyDescent="0.25">
      <c r="O100" s="6">
        <v>2009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6">
        <v>2009</v>
      </c>
      <c r="AC100" s="8">
        <f t="shared" si="51"/>
        <v>0</v>
      </c>
      <c r="AD100" s="8"/>
      <c r="AE100" s="6">
        <v>2009</v>
      </c>
      <c r="AF100" s="8">
        <f t="shared" si="52"/>
        <v>151427.75192139513</v>
      </c>
      <c r="AG100" s="11">
        <f t="shared" si="53"/>
        <v>130.11492196099999</v>
      </c>
      <c r="AH100" s="8">
        <f t="shared" si="54"/>
        <v>0</v>
      </c>
      <c r="AI100" s="8">
        <f t="shared" si="55"/>
        <v>0</v>
      </c>
      <c r="AJ100" s="8">
        <v>2000</v>
      </c>
      <c r="AL100" s="8">
        <f t="shared" si="60"/>
        <v>151427.75192139513</v>
      </c>
      <c r="AM100" s="8">
        <f t="shared" si="58"/>
        <v>130.11492196099999</v>
      </c>
      <c r="AN100" s="8">
        <v>0</v>
      </c>
      <c r="AO100" s="8">
        <v>0</v>
      </c>
      <c r="AP100" s="8">
        <f t="shared" si="61"/>
        <v>2000</v>
      </c>
      <c r="AQ100" s="8">
        <f t="shared" si="57"/>
        <v>8749.5299790991594</v>
      </c>
      <c r="AR100" s="8"/>
      <c r="AS100" s="17"/>
      <c r="AT100" s="17"/>
      <c r="AU100" s="17"/>
      <c r="AV100" s="17"/>
      <c r="AX100" s="8"/>
    </row>
    <row r="101" spans="15:90" x14ac:dyDescent="0.25">
      <c r="O101" s="6">
        <v>2010</v>
      </c>
      <c r="P101" s="7">
        <v>0</v>
      </c>
      <c r="Q101" s="7">
        <v>24159</v>
      </c>
      <c r="R101" s="7">
        <v>276426</v>
      </c>
      <c r="S101" s="7">
        <v>3866</v>
      </c>
      <c r="T101" s="7">
        <v>2615</v>
      </c>
      <c r="U101" s="7">
        <v>1841</v>
      </c>
      <c r="V101" s="7">
        <v>1421</v>
      </c>
      <c r="W101" s="7">
        <v>0</v>
      </c>
      <c r="X101" s="7">
        <v>0</v>
      </c>
      <c r="Y101" s="7">
        <v>1945</v>
      </c>
      <c r="Z101" s="7">
        <v>395</v>
      </c>
      <c r="AA101" s="7">
        <v>28917</v>
      </c>
      <c r="AB101" s="6">
        <v>2010</v>
      </c>
      <c r="AC101" s="8">
        <f t="shared" si="51"/>
        <v>312273</v>
      </c>
      <c r="AD101" s="8"/>
      <c r="AE101" s="6">
        <v>2010</v>
      </c>
      <c r="AF101" s="8">
        <f t="shared" si="52"/>
        <v>127444.55815459513</v>
      </c>
      <c r="AG101" s="11">
        <f t="shared" si="53"/>
        <v>233.23919794</v>
      </c>
      <c r="AH101" s="8">
        <f t="shared" si="54"/>
        <v>481543</v>
      </c>
      <c r="AI101" s="8">
        <f t="shared" si="55"/>
        <v>312273</v>
      </c>
      <c r="AJ101" s="8">
        <v>31000</v>
      </c>
      <c r="AL101" s="8">
        <f t="shared" si="60"/>
        <v>127444.55815459513</v>
      </c>
      <c r="AM101" s="8">
        <f t="shared" si="58"/>
        <v>233.23919794</v>
      </c>
      <c r="AN101" s="8">
        <f t="shared" ref="AN101:AO104" si="62">AH101</f>
        <v>481543</v>
      </c>
      <c r="AO101" s="8">
        <f t="shared" si="62"/>
        <v>312273</v>
      </c>
      <c r="AP101" s="8">
        <f t="shared" si="61"/>
        <v>31000</v>
      </c>
      <c r="AQ101" s="8">
        <f t="shared" si="57"/>
        <v>31466.323564055474</v>
      </c>
      <c r="AR101" s="8"/>
      <c r="AS101" s="17"/>
      <c r="AT101" s="17"/>
      <c r="AU101" s="17"/>
      <c r="AV101" s="17"/>
      <c r="AX101" s="8"/>
    </row>
    <row r="102" spans="15:90" x14ac:dyDescent="0.25">
      <c r="O102" s="6">
        <v>2011</v>
      </c>
      <c r="P102" s="7">
        <v>32784</v>
      </c>
      <c r="Q102" s="7">
        <v>13438</v>
      </c>
      <c r="R102" s="7">
        <v>11354</v>
      </c>
      <c r="S102" s="7">
        <v>3475</v>
      </c>
      <c r="T102" s="7">
        <v>2498</v>
      </c>
      <c r="U102" s="7">
        <v>1764</v>
      </c>
      <c r="V102" s="7">
        <v>1655</v>
      </c>
      <c r="W102" s="7">
        <v>59</v>
      </c>
      <c r="X102" s="7">
        <v>0</v>
      </c>
      <c r="Y102" s="7">
        <v>0</v>
      </c>
      <c r="Z102" s="7">
        <v>0</v>
      </c>
      <c r="AA102" s="7">
        <v>61263</v>
      </c>
      <c r="AB102" s="6">
        <v>2011</v>
      </c>
      <c r="AC102" s="8">
        <f t="shared" si="51"/>
        <v>96339</v>
      </c>
      <c r="AD102" s="8"/>
      <c r="AE102" s="6">
        <v>2011</v>
      </c>
      <c r="AF102" s="8">
        <f t="shared" si="52"/>
        <v>505146.10825669509</v>
      </c>
      <c r="AG102" s="11">
        <f t="shared" si="53"/>
        <v>30.575501160000016</v>
      </c>
      <c r="AH102" s="8">
        <f t="shared" si="54"/>
        <v>278438</v>
      </c>
      <c r="AI102" s="8">
        <f t="shared" si="55"/>
        <v>96339</v>
      </c>
      <c r="AJ102" s="8">
        <v>30000</v>
      </c>
      <c r="AL102" s="8">
        <f t="shared" si="60"/>
        <v>505146.10825669509</v>
      </c>
      <c r="AM102" s="8">
        <f t="shared" si="58"/>
        <v>30.575501160000016</v>
      </c>
      <c r="AN102" s="8">
        <f t="shared" si="62"/>
        <v>278438</v>
      </c>
      <c r="AO102" s="8">
        <f t="shared" si="62"/>
        <v>96339</v>
      </c>
      <c r="AP102" s="8">
        <f t="shared" si="61"/>
        <v>30000</v>
      </c>
      <c r="AQ102" s="8">
        <f t="shared" si="57"/>
        <v>31445.834639527042</v>
      </c>
      <c r="AR102" s="8"/>
      <c r="AS102" s="17"/>
      <c r="AT102" s="17"/>
      <c r="AU102" s="17"/>
      <c r="AV102" s="17"/>
      <c r="AX102" s="8"/>
    </row>
    <row r="103" spans="15:90" x14ac:dyDescent="0.25">
      <c r="O103" s="6">
        <v>2012</v>
      </c>
      <c r="P103" s="7">
        <v>2056</v>
      </c>
      <c r="Q103" s="7">
        <v>18085</v>
      </c>
      <c r="R103" s="7">
        <v>13981</v>
      </c>
      <c r="S103" s="7">
        <v>975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6">
        <v>2012</v>
      </c>
      <c r="AC103" s="8">
        <f t="shared" si="51"/>
        <v>96360</v>
      </c>
      <c r="AD103" s="8"/>
      <c r="AE103" s="6">
        <v>2012</v>
      </c>
      <c r="AF103" s="8">
        <f t="shared" si="52"/>
        <v>551414.15515269502</v>
      </c>
      <c r="AG103" s="11">
        <f t="shared" si="53"/>
        <v>251.96414289999996</v>
      </c>
      <c r="AH103" s="8">
        <f t="shared" si="54"/>
        <v>144887</v>
      </c>
      <c r="AI103" s="8">
        <f t="shared" si="55"/>
        <v>96360</v>
      </c>
      <c r="AJ103" s="8">
        <v>30965</v>
      </c>
      <c r="AL103" s="8">
        <f t="shared" si="60"/>
        <v>551414.15515269502</v>
      </c>
      <c r="AM103" s="8">
        <f t="shared" si="58"/>
        <v>251.96414289999996</v>
      </c>
      <c r="AN103" s="8">
        <f t="shared" si="62"/>
        <v>144887</v>
      </c>
      <c r="AO103" s="8">
        <f t="shared" si="62"/>
        <v>96360</v>
      </c>
      <c r="AP103" s="8">
        <f t="shared" si="61"/>
        <v>30965</v>
      </c>
      <c r="AQ103" s="8">
        <f t="shared" si="57"/>
        <v>32743.664205911075</v>
      </c>
      <c r="AR103" s="8"/>
      <c r="AS103" s="17"/>
      <c r="AT103" s="17"/>
      <c r="AU103" s="17"/>
      <c r="AV103" s="17"/>
      <c r="AX103" s="8"/>
    </row>
    <row r="104" spans="15:90" x14ac:dyDescent="0.25">
      <c r="O104" s="6">
        <v>2013</v>
      </c>
      <c r="P104" s="7">
        <v>0</v>
      </c>
      <c r="Q104" s="7">
        <v>199874</v>
      </c>
      <c r="R104" s="7">
        <v>65456</v>
      </c>
      <c r="S104" s="7">
        <v>5123</v>
      </c>
      <c r="T104" s="7">
        <v>1864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6">
        <v>2013</v>
      </c>
      <c r="AC104" s="8">
        <f t="shared" si="51"/>
        <v>272317</v>
      </c>
      <c r="AD104" s="8"/>
      <c r="AE104" s="6">
        <v>2013</v>
      </c>
      <c r="AF104" s="8">
        <f t="shared" si="52"/>
        <v>339757.68597495853</v>
      </c>
      <c r="AG104" s="11">
        <f t="shared" si="53"/>
        <v>43.812472114000002</v>
      </c>
      <c r="AH104" s="8">
        <f t="shared" si="54"/>
        <v>313977</v>
      </c>
      <c r="AI104" s="8">
        <f t="shared" si="55"/>
        <v>272317</v>
      </c>
      <c r="AJ104" s="8">
        <v>28300</v>
      </c>
      <c r="AL104" s="8">
        <f t="shared" si="60"/>
        <v>339757.68597495853</v>
      </c>
      <c r="AM104" s="8">
        <f t="shared" si="58"/>
        <v>43.812472114000002</v>
      </c>
      <c r="AN104" s="8">
        <f t="shared" si="62"/>
        <v>313977</v>
      </c>
      <c r="AO104" s="8">
        <f t="shared" si="62"/>
        <v>272317</v>
      </c>
      <c r="AP104" s="8">
        <f t="shared" si="61"/>
        <v>28300</v>
      </c>
      <c r="AQ104" s="8">
        <f t="shared" si="57"/>
        <v>27263.166014283546</v>
      </c>
      <c r="AR104" s="8"/>
      <c r="AS104" s="17"/>
      <c r="AT104" s="17"/>
      <c r="AU104" s="17"/>
      <c r="AV104" s="17"/>
      <c r="AX104" s="8"/>
    </row>
    <row r="105" spans="15:90" x14ac:dyDescent="0.25">
      <c r="O105" s="6">
        <v>2014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/>
      <c r="W105" s="7"/>
      <c r="X105" s="7"/>
      <c r="Y105" s="7"/>
      <c r="Z105" s="7"/>
      <c r="AA105" s="7"/>
      <c r="AB105" s="6"/>
      <c r="AM105" t="s">
        <v>67</v>
      </c>
      <c r="AN105" t="s">
        <v>73</v>
      </c>
      <c r="AO105" t="s">
        <v>72</v>
      </c>
    </row>
    <row r="106" spans="15:90" x14ac:dyDescent="0.25">
      <c r="AM106" s="15">
        <f t="array" ref="AM106:AO110">LINEST(AP90:AP104,AL90:AN104,0,1)</f>
        <v>4.3735710071056387E-2</v>
      </c>
      <c r="AN106" s="15">
        <v>24.584784525886754</v>
      </c>
      <c r="AO106" s="15">
        <v>3.6655649896768706E-2</v>
      </c>
      <c r="AQ106" s="18"/>
      <c r="AR106" s="19"/>
      <c r="AS106" s="19"/>
      <c r="AT106" s="19"/>
      <c r="AU106" s="16"/>
      <c r="AV106" s="16"/>
    </row>
    <row r="107" spans="15:90" x14ac:dyDescent="0.25">
      <c r="AL107" s="11"/>
      <c r="AM107" s="15">
        <v>9.2913910078556376E-3</v>
      </c>
      <c r="AN107" s="15">
        <v>14.20490961679087</v>
      </c>
      <c r="AO107" s="15">
        <v>6.7315781517977248E-3</v>
      </c>
      <c r="AP107" s="11"/>
      <c r="AQ107" s="15"/>
      <c r="AR107" s="15"/>
      <c r="AS107" s="15"/>
      <c r="AT107" s="15"/>
      <c r="AU107" s="15"/>
      <c r="AV107" s="15"/>
    </row>
    <row r="108" spans="15:90" x14ac:dyDescent="0.25">
      <c r="AL108" s="11"/>
      <c r="AM108" s="15">
        <v>0.95531680000861496</v>
      </c>
      <c r="AN108" s="15">
        <v>4501.6028847824182</v>
      </c>
      <c r="AO108" s="15" t="e">
        <v>#N/A</v>
      </c>
      <c r="AP108" s="11"/>
      <c r="AQ108" s="15"/>
      <c r="AR108" s="15"/>
      <c r="AS108" s="15"/>
      <c r="AT108" s="15"/>
      <c r="AU108" s="15"/>
      <c r="AV108" s="15"/>
    </row>
    <row r="109" spans="15:90" x14ac:dyDescent="0.25">
      <c r="AL109" s="11"/>
      <c r="AM109" s="15">
        <v>85.519103393919991</v>
      </c>
      <c r="AN109" s="15">
        <v>12</v>
      </c>
      <c r="AO109" s="15" t="e">
        <v>#N/A</v>
      </c>
      <c r="AP109" s="11"/>
      <c r="AQ109" s="15"/>
      <c r="AR109" s="15"/>
      <c r="AS109" s="15"/>
      <c r="AT109" s="15"/>
      <c r="AU109" s="15"/>
      <c r="AV109" s="15"/>
    </row>
    <row r="110" spans="15:90" x14ac:dyDescent="0.25">
      <c r="AL110" s="11"/>
      <c r="AM110" s="15">
        <v>5198987276.6126232</v>
      </c>
      <c r="AN110" s="15">
        <v>243173142.38737664</v>
      </c>
      <c r="AO110" s="15" t="e">
        <v>#N/A</v>
      </c>
      <c r="AP110" s="11"/>
      <c r="AQ110" s="15"/>
      <c r="AR110" s="15"/>
      <c r="AS110" s="15"/>
      <c r="AT110" s="15"/>
      <c r="AU110" s="15"/>
      <c r="AV110" s="15"/>
    </row>
    <row r="111" spans="15:90" x14ac:dyDescent="0.25">
      <c r="AK111" t="s">
        <v>79</v>
      </c>
      <c r="AL111" s="11"/>
      <c r="AM111" s="8"/>
      <c r="AN111" s="11"/>
      <c r="AO111" s="11"/>
      <c r="AP111" s="11"/>
      <c r="AQ111" s="11"/>
      <c r="AR111" s="15"/>
      <c r="AS111" s="15" t="s">
        <v>80</v>
      </c>
      <c r="AT111" s="15"/>
      <c r="AU111" s="15"/>
      <c r="AV111" s="15"/>
    </row>
    <row r="112" spans="15:90" x14ac:dyDescent="0.25">
      <c r="AK112" t="s">
        <v>78</v>
      </c>
      <c r="AL112" s="16" t="s">
        <v>72</v>
      </c>
      <c r="AM112" s="16" t="s">
        <v>73</v>
      </c>
      <c r="AN112" s="16" t="s">
        <v>67</v>
      </c>
      <c r="AO112" s="16" t="s">
        <v>75</v>
      </c>
      <c r="AP112" s="11" t="s">
        <v>69</v>
      </c>
      <c r="AQ112" s="11" t="s">
        <v>74</v>
      </c>
      <c r="AS112" t="s">
        <v>78</v>
      </c>
      <c r="AT112" t="s">
        <v>83</v>
      </c>
      <c r="AU112" t="s">
        <v>82</v>
      </c>
      <c r="AV112" t="s">
        <v>84</v>
      </c>
      <c r="AW112" t="s">
        <v>69</v>
      </c>
      <c r="AX112" t="s">
        <v>86</v>
      </c>
      <c r="AZ112" t="s">
        <v>78</v>
      </c>
      <c r="BA112" t="s">
        <v>82</v>
      </c>
      <c r="BB112" t="s">
        <v>84</v>
      </c>
      <c r="BC112" t="s">
        <v>81</v>
      </c>
      <c r="BD112" t="s">
        <v>74</v>
      </c>
      <c r="BF112" t="s">
        <v>78</v>
      </c>
      <c r="BG112" t="s">
        <v>82</v>
      </c>
      <c r="BH112" t="s">
        <v>69</v>
      </c>
      <c r="BI112" t="s">
        <v>86</v>
      </c>
      <c r="BL112" t="s">
        <v>78</v>
      </c>
      <c r="BM112" t="s">
        <v>85</v>
      </c>
      <c r="BN112" t="s">
        <v>69</v>
      </c>
      <c r="BO112" t="s">
        <v>39</v>
      </c>
      <c r="BQ112" t="s">
        <v>78</v>
      </c>
      <c r="BR112" t="s">
        <v>85</v>
      </c>
      <c r="BS112" t="s">
        <v>69</v>
      </c>
      <c r="BT112" t="s">
        <v>39</v>
      </c>
      <c r="BU112" t="s">
        <v>74</v>
      </c>
      <c r="BY112" t="s">
        <v>69</v>
      </c>
      <c r="BZ112" t="s">
        <v>73</v>
      </c>
      <c r="CA112" t="s">
        <v>96</v>
      </c>
      <c r="CB112" t="s">
        <v>585</v>
      </c>
      <c r="CC112" t="s">
        <v>179</v>
      </c>
      <c r="CF112" t="s">
        <v>584</v>
      </c>
      <c r="CG112" t="s">
        <v>583</v>
      </c>
      <c r="CH112" t="s">
        <v>582</v>
      </c>
      <c r="CI112" t="s">
        <v>581</v>
      </c>
      <c r="CJ112" t="s">
        <v>580</v>
      </c>
      <c r="CK112" t="s">
        <v>579</v>
      </c>
      <c r="CL112" t="s">
        <v>74</v>
      </c>
    </row>
    <row r="113" spans="37:90" x14ac:dyDescent="0.25">
      <c r="AK113" s="10">
        <v>1999</v>
      </c>
      <c r="AL113" s="8">
        <f t="shared" ref="AL113:AN127" si="63">AL90</f>
        <v>292683.62807700003</v>
      </c>
      <c r="AM113" s="8">
        <f t="shared" si="63"/>
        <v>226.26993331</v>
      </c>
      <c r="AN113" s="8">
        <f t="shared" si="63"/>
        <v>198344</v>
      </c>
      <c r="AO113" s="8">
        <f t="shared" ref="AO113:AO127" si="64">AI68</f>
        <v>15000</v>
      </c>
      <c r="AP113" s="11">
        <f t="shared" ref="AP113:AP127" si="65">AP90</f>
        <v>22000</v>
      </c>
      <c r="AQ113" s="11">
        <f t="shared" ref="AQ113:AQ127" si="66">($AO$129*AL113)+($AN$129*AM113)+($AM$129*AN113)+($AL$129*AO113)</f>
        <v>24306.47869569264</v>
      </c>
      <c r="AS113" s="10">
        <v>1999</v>
      </c>
      <c r="AT113" s="11">
        <f t="shared" ref="AT113:AT127" si="67">H5</f>
        <v>23.80712694</v>
      </c>
      <c r="AU113" s="20">
        <f t="shared" ref="AU113:AU127" si="68">IF(AN113&gt;0,LN(AN113),0)</f>
        <v>12.197758175926088</v>
      </c>
      <c r="AV113" s="11">
        <f t="shared" ref="AV113:AV127" si="69">M5</f>
        <v>58.831625879999997</v>
      </c>
      <c r="AW113" s="11">
        <f t="shared" ref="AW113:AW127" si="70">AP113</f>
        <v>22000</v>
      </c>
      <c r="AX113" s="11">
        <f t="shared" ref="AX113:AX127" si="71">AL15</f>
        <v>180400</v>
      </c>
      <c r="AY113" s="11"/>
      <c r="AZ113" s="11">
        <v>1999</v>
      </c>
      <c r="BA113" s="20">
        <v>12.197758175926088</v>
      </c>
      <c r="BB113" s="11">
        <v>58.831625879999997</v>
      </c>
      <c r="BC113" s="20">
        <v>8.1999999999999993</v>
      </c>
      <c r="BD113" s="20">
        <f t="shared" ref="BD113:BD126" si="72">($BB$128*BA113)+($BA$128*BB113)</f>
        <v>9.9345123318403807</v>
      </c>
      <c r="BF113">
        <v>1999</v>
      </c>
      <c r="BG113">
        <v>198344</v>
      </c>
      <c r="BH113" s="8">
        <v>22000</v>
      </c>
      <c r="BI113" s="8">
        <v>180400</v>
      </c>
      <c r="BJ113" s="8">
        <f t="shared" ref="BJ113:BJ126" si="73">($BH$128*BG113)+($BG$128*BH113)</f>
        <v>220174.31976236816</v>
      </c>
      <c r="BL113" s="10">
        <v>1999</v>
      </c>
      <c r="BM113" s="8">
        <f t="shared" ref="BM113:BM127" si="74">AC69+AC90</f>
        <v>230806</v>
      </c>
      <c r="BN113" s="11">
        <f t="shared" ref="BN113:BN127" si="75">AW113</f>
        <v>22000</v>
      </c>
      <c r="BO113" s="11">
        <f t="shared" ref="BO113:BO127" si="76">AX113</f>
        <v>180400</v>
      </c>
      <c r="BQ113">
        <v>1999</v>
      </c>
      <c r="BR113">
        <v>230806</v>
      </c>
      <c r="BS113">
        <v>22000</v>
      </c>
      <c r="BT113">
        <v>180400</v>
      </c>
      <c r="BU113" s="8">
        <f t="shared" ref="BU113:BU126" si="77">($BS$128*BR113)+($BR$128*BS113)</f>
        <v>213197.01328737385</v>
      </c>
      <c r="BX113">
        <v>1999</v>
      </c>
      <c r="BY113" s="8">
        <f t="shared" ref="BY113:BY127" si="78">AK15</f>
        <v>22000</v>
      </c>
      <c r="BZ113" s="8">
        <f t="shared" ref="BZ113:BZ127" si="79">(L5+M5)-100</f>
        <v>46.044320639999995</v>
      </c>
      <c r="CA113" s="8">
        <f t="shared" ref="CA113:CA127" si="80">AL15</f>
        <v>180400</v>
      </c>
      <c r="CC113" s="20">
        <f t="shared" ref="CC113:CC127" si="81">CA113/BY113</f>
        <v>8.1999999999999993</v>
      </c>
      <c r="CD113" s="8"/>
      <c r="CE113">
        <v>1999</v>
      </c>
      <c r="CF113" s="20">
        <f t="shared" ref="CF113:CF127" si="82">(P70+Q70)/31000</f>
        <v>1.1331935483870967</v>
      </c>
      <c r="CG113" s="17">
        <f t="shared" ref="CG113:CG127" si="83">(P91+Q91)/31000</f>
        <v>8.5419354838709674E-2</v>
      </c>
      <c r="CH113" s="17">
        <f t="shared" ref="CH113:CH127" si="84">(B6+C6)/100</f>
        <v>1.1538975493999999</v>
      </c>
      <c r="CI113" s="20">
        <f t="shared" ref="CI113:CI127" si="85">IF(LN(CF113+CG113+CH113)&gt;0,LN(CF113+CG113+CH113),0)</f>
        <v>0.86394865723546777</v>
      </c>
      <c r="CJ113" s="8">
        <f t="shared" ref="CJ113:CJ127" si="86">AK15</f>
        <v>22000</v>
      </c>
      <c r="CK113" s="8">
        <f t="shared" ref="CK113:CK127" si="87">AL15</f>
        <v>180400</v>
      </c>
      <c r="CL113" s="8">
        <f t="shared" ref="CL113:CL127" si="88">$CI$129+($CH$129*CI113)+($CG$129*CJ113)</f>
        <v>218788.37949086216</v>
      </c>
    </row>
    <row r="114" spans="37:90" x14ac:dyDescent="0.25">
      <c r="AK114" s="10">
        <v>2000</v>
      </c>
      <c r="AL114" s="8">
        <f t="shared" si="63"/>
        <v>297634.34521060006</v>
      </c>
      <c r="AM114" s="8">
        <f t="shared" si="63"/>
        <v>98.932516719999967</v>
      </c>
      <c r="AN114" s="8">
        <f t="shared" si="63"/>
        <v>35701</v>
      </c>
      <c r="AO114" s="8">
        <f t="shared" si="64"/>
        <v>22000</v>
      </c>
      <c r="AP114" s="11">
        <f t="shared" si="65"/>
        <v>25687</v>
      </c>
      <c r="AQ114" s="11">
        <f t="shared" si="66"/>
        <v>15422.184472916375</v>
      </c>
      <c r="AS114" s="10">
        <v>2000</v>
      </c>
      <c r="AT114" s="11">
        <f t="shared" si="67"/>
        <v>11.00400892</v>
      </c>
      <c r="AU114" s="20">
        <f t="shared" si="68"/>
        <v>10.482933978579906</v>
      </c>
      <c r="AV114" s="11">
        <f t="shared" si="69"/>
        <v>9.4734966580000002</v>
      </c>
      <c r="AW114" s="11">
        <f t="shared" si="70"/>
        <v>25687</v>
      </c>
      <c r="AX114" s="11">
        <f t="shared" si="71"/>
        <v>194791</v>
      </c>
      <c r="AY114" s="11"/>
      <c r="AZ114" s="11">
        <v>2000</v>
      </c>
      <c r="BA114" s="20">
        <v>10.482933978579906</v>
      </c>
      <c r="BB114" s="11">
        <v>9.4734966580000002</v>
      </c>
      <c r="BC114" s="20">
        <v>7.5832522287538442</v>
      </c>
      <c r="BD114" s="20">
        <f t="shared" si="72"/>
        <v>6.8430426299525484</v>
      </c>
      <c r="BF114">
        <v>2000</v>
      </c>
      <c r="BG114">
        <v>35701</v>
      </c>
      <c r="BH114" s="8">
        <v>25687</v>
      </c>
      <c r="BI114" s="8">
        <v>194791</v>
      </c>
      <c r="BJ114" s="8">
        <f t="shared" si="73"/>
        <v>231621.66551650065</v>
      </c>
      <c r="BL114" s="10">
        <v>2000</v>
      </c>
      <c r="BM114" s="8">
        <f t="shared" si="74"/>
        <v>39176</v>
      </c>
      <c r="BN114" s="11">
        <f t="shared" si="75"/>
        <v>25687</v>
      </c>
      <c r="BO114" s="11">
        <f t="shared" si="76"/>
        <v>194791</v>
      </c>
      <c r="BQ114">
        <v>2000</v>
      </c>
      <c r="BR114">
        <v>39176</v>
      </c>
      <c r="BS114">
        <v>25687</v>
      </c>
      <c r="BT114">
        <v>194791</v>
      </c>
      <c r="BU114" s="8">
        <f t="shared" si="77"/>
        <v>226468.60157736749</v>
      </c>
      <c r="BX114">
        <v>2000</v>
      </c>
      <c r="BY114" s="8">
        <f t="shared" si="78"/>
        <v>25687</v>
      </c>
      <c r="BZ114" s="8">
        <f t="shared" si="79"/>
        <v>54.556124857999976</v>
      </c>
      <c r="CA114" s="8">
        <f t="shared" si="80"/>
        <v>194791</v>
      </c>
      <c r="CC114" s="20">
        <f t="shared" si="81"/>
        <v>7.5832522287538442</v>
      </c>
      <c r="CD114" s="8"/>
      <c r="CE114">
        <v>2000</v>
      </c>
      <c r="CF114" s="20">
        <f t="shared" si="82"/>
        <v>0</v>
      </c>
      <c r="CG114" s="17">
        <f t="shared" si="83"/>
        <v>0</v>
      </c>
      <c r="CH114" s="17">
        <f t="shared" si="84"/>
        <v>1.0778129164000001</v>
      </c>
      <c r="CI114" s="20">
        <f t="shared" si="85"/>
        <v>7.493391048701746E-2</v>
      </c>
      <c r="CJ114" s="8">
        <f t="shared" si="86"/>
        <v>25687</v>
      </c>
      <c r="CK114" s="8">
        <f t="shared" si="87"/>
        <v>194791</v>
      </c>
      <c r="CL114" s="8">
        <f t="shared" si="88"/>
        <v>249796.19612245917</v>
      </c>
    </row>
    <row r="115" spans="37:90" x14ac:dyDescent="0.25">
      <c r="AK115" s="10">
        <v>2001</v>
      </c>
      <c r="AL115" s="8">
        <f t="shared" si="63"/>
        <v>0</v>
      </c>
      <c r="AM115" s="8">
        <f t="shared" si="63"/>
        <v>73.956124530000011</v>
      </c>
      <c r="AN115" s="8">
        <f t="shared" si="63"/>
        <v>76645</v>
      </c>
      <c r="AO115" s="8">
        <f t="shared" si="64"/>
        <v>25687</v>
      </c>
      <c r="AP115" s="11">
        <f t="shared" si="65"/>
        <v>10000</v>
      </c>
      <c r="AQ115" s="11">
        <f t="shared" si="66"/>
        <v>9161.2998846992505</v>
      </c>
      <c r="AS115" s="10">
        <v>2001</v>
      </c>
      <c r="AT115" s="11">
        <f t="shared" si="67"/>
        <v>52.710913140000002</v>
      </c>
      <c r="AU115" s="20">
        <f t="shared" si="68"/>
        <v>11.246939650600208</v>
      </c>
      <c r="AV115" s="11">
        <f t="shared" si="69"/>
        <v>20.05256129</v>
      </c>
      <c r="AW115" s="11">
        <f t="shared" si="70"/>
        <v>10000</v>
      </c>
      <c r="AX115" s="11">
        <f t="shared" si="71"/>
        <v>71000</v>
      </c>
      <c r="AY115" s="11"/>
      <c r="AZ115" s="11">
        <v>2001</v>
      </c>
      <c r="BA115" s="20">
        <v>11.246939650600208</v>
      </c>
      <c r="BB115" s="11">
        <v>20.05256129</v>
      </c>
      <c r="BC115" s="20">
        <v>7.1</v>
      </c>
      <c r="BD115" s="20">
        <f t="shared" si="72"/>
        <v>7.7496694520447154</v>
      </c>
      <c r="BF115">
        <v>2001</v>
      </c>
      <c r="BG115">
        <v>76645</v>
      </c>
      <c r="BH115" s="8">
        <v>10000</v>
      </c>
      <c r="BI115" s="8">
        <v>71000</v>
      </c>
      <c r="BJ115" s="8">
        <f t="shared" si="73"/>
        <v>98323.656091756595</v>
      </c>
      <c r="BL115" s="10">
        <v>2001</v>
      </c>
      <c r="BM115" s="8">
        <f t="shared" si="74"/>
        <v>81962</v>
      </c>
      <c r="BN115" s="11">
        <f t="shared" si="75"/>
        <v>10000</v>
      </c>
      <c r="BO115" s="11">
        <f t="shared" si="76"/>
        <v>71000</v>
      </c>
      <c r="BQ115">
        <v>2001</v>
      </c>
      <c r="BR115">
        <v>81962</v>
      </c>
      <c r="BS115">
        <v>10000</v>
      </c>
      <c r="BT115">
        <v>71000</v>
      </c>
      <c r="BU115" s="8">
        <f t="shared" si="77"/>
        <v>94669.829917047551</v>
      </c>
      <c r="BX115">
        <v>2001</v>
      </c>
      <c r="BY115" s="8">
        <f t="shared" si="78"/>
        <v>10000</v>
      </c>
      <c r="BZ115" s="8">
        <f t="shared" si="79"/>
        <v>-38.190200339999997</v>
      </c>
      <c r="CA115" s="8">
        <f t="shared" si="80"/>
        <v>71000</v>
      </c>
      <c r="CC115" s="20">
        <f t="shared" si="81"/>
        <v>7.1</v>
      </c>
      <c r="CD115" s="8"/>
      <c r="CE115">
        <v>2001</v>
      </c>
      <c r="CF115" s="20">
        <f t="shared" si="82"/>
        <v>0</v>
      </c>
      <c r="CG115" s="17">
        <f t="shared" si="83"/>
        <v>0</v>
      </c>
      <c r="CH115" s="17">
        <f t="shared" si="84"/>
        <v>0.9225211593</v>
      </c>
      <c r="CI115" s="20">
        <f t="shared" si="85"/>
        <v>0</v>
      </c>
      <c r="CJ115" s="8">
        <f t="shared" si="86"/>
        <v>10000</v>
      </c>
      <c r="CK115" s="8">
        <f t="shared" si="87"/>
        <v>71000</v>
      </c>
      <c r="CL115" s="8">
        <f t="shared" si="88"/>
        <v>88025.965042744327</v>
      </c>
    </row>
    <row r="116" spans="37:90" x14ac:dyDescent="0.25">
      <c r="AK116" s="6">
        <v>2002</v>
      </c>
      <c r="AL116" s="8">
        <f t="shared" si="63"/>
        <v>0</v>
      </c>
      <c r="AM116" s="8">
        <f t="shared" si="63"/>
        <v>1.5469934489999844</v>
      </c>
      <c r="AN116" s="8">
        <f t="shared" si="63"/>
        <v>0</v>
      </c>
      <c r="AO116" s="8">
        <f t="shared" si="64"/>
        <v>10000</v>
      </c>
      <c r="AP116" s="11">
        <f t="shared" si="65"/>
        <v>0</v>
      </c>
      <c r="AQ116" s="11">
        <f t="shared" si="66"/>
        <v>1617.8778668253988</v>
      </c>
      <c r="AS116" s="6">
        <v>2002</v>
      </c>
      <c r="AT116" s="11">
        <f t="shared" si="67"/>
        <v>8.8641425389999995</v>
      </c>
      <c r="AU116" s="20">
        <f t="shared" si="68"/>
        <v>0</v>
      </c>
      <c r="AV116" s="11">
        <f t="shared" si="69"/>
        <v>40.142538979999998</v>
      </c>
      <c r="AW116" s="11">
        <f t="shared" si="70"/>
        <v>0</v>
      </c>
      <c r="AX116" s="11">
        <f t="shared" si="71"/>
        <v>0</v>
      </c>
      <c r="AY116" s="11"/>
      <c r="AZ116" s="11">
        <v>2003</v>
      </c>
      <c r="BA116" s="20">
        <v>9.6769005794441583</v>
      </c>
      <c r="BB116" s="11">
        <v>75.743875329999995</v>
      </c>
      <c r="BC116" s="20">
        <v>7.5</v>
      </c>
      <c r="BD116" s="20">
        <f t="shared" si="72"/>
        <v>9.0805391629009815</v>
      </c>
      <c r="BF116">
        <v>2003</v>
      </c>
      <c r="BG116">
        <v>15945</v>
      </c>
      <c r="BH116" s="8">
        <v>1000</v>
      </c>
      <c r="BI116" s="8">
        <v>7500</v>
      </c>
      <c r="BJ116" s="8">
        <f t="shared" si="73"/>
        <v>10908.280811972987</v>
      </c>
      <c r="BL116" s="6">
        <v>2002</v>
      </c>
      <c r="BM116" s="8">
        <f t="shared" si="74"/>
        <v>0</v>
      </c>
      <c r="BN116" s="11">
        <f t="shared" si="75"/>
        <v>0</v>
      </c>
      <c r="BO116" s="11">
        <f t="shared" si="76"/>
        <v>0</v>
      </c>
      <c r="BQ116">
        <v>2003</v>
      </c>
      <c r="BR116">
        <v>17770</v>
      </c>
      <c r="BS116">
        <v>1000</v>
      </c>
      <c r="BT116">
        <v>7500</v>
      </c>
      <c r="BU116" s="8">
        <f t="shared" si="77"/>
        <v>10400.552022931659</v>
      </c>
      <c r="BX116">
        <v>2002</v>
      </c>
      <c r="BY116" s="8">
        <f t="shared" si="78"/>
        <v>0</v>
      </c>
      <c r="BZ116" s="8">
        <f t="shared" si="79"/>
        <v>-50.492204895</v>
      </c>
      <c r="CA116" s="8">
        <f t="shared" si="80"/>
        <v>0</v>
      </c>
      <c r="CC116" s="20" t="e">
        <f t="shared" si="81"/>
        <v>#DIV/0!</v>
      </c>
      <c r="CD116" s="8"/>
      <c r="CE116">
        <v>2002</v>
      </c>
      <c r="CF116" s="20">
        <f t="shared" si="82"/>
        <v>0</v>
      </c>
      <c r="CG116" s="17">
        <f t="shared" si="83"/>
        <v>0</v>
      </c>
      <c r="CH116" s="17">
        <f t="shared" si="84"/>
        <v>0.68953229398999993</v>
      </c>
      <c r="CI116" s="20">
        <f t="shared" si="85"/>
        <v>0</v>
      </c>
      <c r="CJ116" s="8">
        <f t="shared" si="86"/>
        <v>0</v>
      </c>
      <c r="CK116" s="8">
        <f t="shared" si="87"/>
        <v>0</v>
      </c>
      <c r="CL116" s="8">
        <f t="shared" si="88"/>
        <v>-14682.426458121132</v>
      </c>
    </row>
    <row r="117" spans="37:90" x14ac:dyDescent="0.25">
      <c r="AK117" s="6">
        <v>2003</v>
      </c>
      <c r="AL117" s="8">
        <f t="shared" si="63"/>
        <v>0</v>
      </c>
      <c r="AM117" s="8">
        <f t="shared" si="63"/>
        <v>68.095768368999984</v>
      </c>
      <c r="AN117" s="8">
        <f t="shared" si="63"/>
        <v>15945</v>
      </c>
      <c r="AO117" s="8">
        <f t="shared" si="64"/>
        <v>0</v>
      </c>
      <c r="AP117" s="11">
        <f t="shared" si="65"/>
        <v>1000</v>
      </c>
      <c r="AQ117" s="11">
        <f t="shared" si="66"/>
        <v>2296.6201958921929</v>
      </c>
      <c r="AS117" s="6">
        <v>2003</v>
      </c>
      <c r="AT117" s="11">
        <f t="shared" si="67"/>
        <v>29.715812960000001</v>
      </c>
      <c r="AU117" s="20">
        <f t="shared" si="68"/>
        <v>9.6769005794441583</v>
      </c>
      <c r="AV117" s="11">
        <f t="shared" si="69"/>
        <v>75.743875329999995</v>
      </c>
      <c r="AW117" s="11">
        <f t="shared" si="70"/>
        <v>1000</v>
      </c>
      <c r="AX117" s="11">
        <f t="shared" si="71"/>
        <v>7500</v>
      </c>
      <c r="AY117" s="11"/>
      <c r="AZ117" s="11">
        <v>2004</v>
      </c>
      <c r="BA117" s="20">
        <v>12.24600464412152</v>
      </c>
      <c r="BB117" s="11">
        <v>148.51893100000001</v>
      </c>
      <c r="BC117" s="20">
        <v>10</v>
      </c>
      <c r="BD117" s="20">
        <f t="shared" si="72"/>
        <v>13.663753410699865</v>
      </c>
      <c r="BF117">
        <v>2004</v>
      </c>
      <c r="BG117">
        <v>208148</v>
      </c>
      <c r="BH117" s="8">
        <v>20000</v>
      </c>
      <c r="BI117" s="8">
        <v>200000</v>
      </c>
      <c r="BJ117" s="8">
        <f t="shared" si="73"/>
        <v>203775.20979779441</v>
      </c>
      <c r="BL117" s="6">
        <v>2003</v>
      </c>
      <c r="BM117" s="8">
        <f t="shared" si="74"/>
        <v>17770</v>
      </c>
      <c r="BN117" s="11">
        <f t="shared" si="75"/>
        <v>1000</v>
      </c>
      <c r="BO117" s="11">
        <f t="shared" si="76"/>
        <v>7500</v>
      </c>
      <c r="BQ117">
        <v>2004</v>
      </c>
      <c r="BR117">
        <v>278207</v>
      </c>
      <c r="BS117">
        <v>20000</v>
      </c>
      <c r="BT117">
        <v>200000</v>
      </c>
      <c r="BU117" s="8">
        <f t="shared" si="77"/>
        <v>200483.72693343958</v>
      </c>
      <c r="BX117">
        <v>2003</v>
      </c>
      <c r="BY117" s="8">
        <f t="shared" si="78"/>
        <v>1000</v>
      </c>
      <c r="BZ117" s="8">
        <f t="shared" si="79"/>
        <v>-8.5314030600000024</v>
      </c>
      <c r="CA117" s="8">
        <f t="shared" si="80"/>
        <v>7500</v>
      </c>
      <c r="CC117" s="20">
        <f t="shared" si="81"/>
        <v>7.5</v>
      </c>
      <c r="CD117" s="8"/>
      <c r="CE117">
        <v>2003</v>
      </c>
      <c r="CF117" s="20">
        <f t="shared" si="82"/>
        <v>5.4140645161290326</v>
      </c>
      <c r="CG117" s="17">
        <f t="shared" si="83"/>
        <v>2.1517419354838712</v>
      </c>
      <c r="CH117" s="17">
        <f t="shared" si="84"/>
        <v>2.0420935425</v>
      </c>
      <c r="CI117" s="20">
        <f t="shared" si="85"/>
        <v>2.2625856761174452</v>
      </c>
      <c r="CJ117" s="8">
        <f t="shared" si="86"/>
        <v>1000</v>
      </c>
      <c r="CK117" s="8">
        <f t="shared" si="87"/>
        <v>7500</v>
      </c>
      <c r="CL117" s="8">
        <f t="shared" si="88"/>
        <v>15262.409809952149</v>
      </c>
    </row>
    <row r="118" spans="37:90" x14ac:dyDescent="0.25">
      <c r="AK118" s="6">
        <v>2004</v>
      </c>
      <c r="AL118" s="8">
        <f t="shared" si="63"/>
        <v>35017.01310954331</v>
      </c>
      <c r="AM118" s="8">
        <f t="shared" si="63"/>
        <v>186.69643667899999</v>
      </c>
      <c r="AN118" s="8">
        <f t="shared" si="63"/>
        <v>208148</v>
      </c>
      <c r="AO118" s="8">
        <f t="shared" si="64"/>
        <v>1000</v>
      </c>
      <c r="AP118" s="11">
        <f t="shared" si="65"/>
        <v>20000</v>
      </c>
      <c r="AQ118" s="11">
        <f t="shared" si="66"/>
        <v>14620.728693180234</v>
      </c>
      <c r="AS118" s="6">
        <v>2004</v>
      </c>
      <c r="AT118" s="11">
        <f t="shared" si="67"/>
        <v>15.857461020000001</v>
      </c>
      <c r="AU118" s="20">
        <f t="shared" si="68"/>
        <v>12.24600464412152</v>
      </c>
      <c r="AV118" s="11">
        <f t="shared" si="69"/>
        <v>148.51893100000001</v>
      </c>
      <c r="AW118" s="11">
        <f t="shared" si="70"/>
        <v>20000</v>
      </c>
      <c r="AX118" s="11">
        <f t="shared" si="71"/>
        <v>200000</v>
      </c>
      <c r="AY118" s="11"/>
      <c r="AZ118" s="11">
        <v>2005</v>
      </c>
      <c r="BA118" s="20">
        <v>9.3833688818585443</v>
      </c>
      <c r="BB118" s="11">
        <v>27.6610245</v>
      </c>
      <c r="BC118" s="20">
        <v>8.1865284974093271</v>
      </c>
      <c r="BD118" s="20">
        <f t="shared" si="72"/>
        <v>6.9164822716608647</v>
      </c>
      <c r="BF118">
        <v>2005</v>
      </c>
      <c r="BG118">
        <v>11889</v>
      </c>
      <c r="BH118" s="8">
        <v>4825</v>
      </c>
      <c r="BI118" s="8">
        <v>39500</v>
      </c>
      <c r="BJ118" s="8">
        <f t="shared" si="73"/>
        <v>44180.842477342885</v>
      </c>
      <c r="BL118" s="6">
        <v>2004</v>
      </c>
      <c r="BM118" s="8">
        <f t="shared" si="74"/>
        <v>278207</v>
      </c>
      <c r="BN118" s="11">
        <f t="shared" si="75"/>
        <v>20000</v>
      </c>
      <c r="BO118" s="11">
        <f t="shared" si="76"/>
        <v>200000</v>
      </c>
      <c r="BQ118">
        <v>2005</v>
      </c>
      <c r="BR118">
        <v>12889</v>
      </c>
      <c r="BS118">
        <v>4825</v>
      </c>
      <c r="BT118">
        <v>39500</v>
      </c>
      <c r="BU118" s="8">
        <f t="shared" si="77"/>
        <v>43078.72663227209</v>
      </c>
      <c r="BX118">
        <v>2004</v>
      </c>
      <c r="BY118" s="8">
        <f t="shared" si="78"/>
        <v>20000</v>
      </c>
      <c r="BZ118" s="8">
        <f t="shared" si="79"/>
        <v>114.12917599000002</v>
      </c>
      <c r="CA118" s="8">
        <f t="shared" si="80"/>
        <v>200000</v>
      </c>
      <c r="CC118" s="20">
        <f t="shared" si="81"/>
        <v>10</v>
      </c>
      <c r="CD118" s="8"/>
      <c r="CE118">
        <v>2004</v>
      </c>
      <c r="CF118" s="20">
        <f t="shared" si="82"/>
        <v>0</v>
      </c>
      <c r="CG118" s="17">
        <f t="shared" si="83"/>
        <v>0</v>
      </c>
      <c r="CH118" s="17">
        <f t="shared" si="84"/>
        <v>0.62429844099999998</v>
      </c>
      <c r="CI118" s="20">
        <f t="shared" si="85"/>
        <v>0</v>
      </c>
      <c r="CJ118" s="8">
        <f t="shared" si="86"/>
        <v>20000</v>
      </c>
      <c r="CK118" s="8">
        <f t="shared" si="87"/>
        <v>200000</v>
      </c>
      <c r="CL118" s="8">
        <f t="shared" si="88"/>
        <v>190734.35654360979</v>
      </c>
    </row>
    <row r="119" spans="37:90" x14ac:dyDescent="0.25">
      <c r="AK119" s="6">
        <v>2005</v>
      </c>
      <c r="AL119" s="8">
        <f t="shared" si="63"/>
        <v>0</v>
      </c>
      <c r="AM119" s="8">
        <f t="shared" si="63"/>
        <v>76.779510031000001</v>
      </c>
      <c r="AN119" s="8">
        <f t="shared" si="63"/>
        <v>11889</v>
      </c>
      <c r="AO119" s="8">
        <f t="shared" si="64"/>
        <v>20000</v>
      </c>
      <c r="AP119" s="11">
        <f t="shared" si="65"/>
        <v>4825</v>
      </c>
      <c r="AQ119" s="11">
        <f t="shared" si="66"/>
        <v>5485.3913459896066</v>
      </c>
      <c r="AS119" s="6">
        <v>2005</v>
      </c>
      <c r="AT119" s="11">
        <f t="shared" si="67"/>
        <v>7.0922049039999999</v>
      </c>
      <c r="AU119" s="20">
        <f t="shared" si="68"/>
        <v>9.3833688818585443</v>
      </c>
      <c r="AV119" s="11">
        <f t="shared" si="69"/>
        <v>27.6610245</v>
      </c>
      <c r="AW119" s="11">
        <f t="shared" si="70"/>
        <v>4825</v>
      </c>
      <c r="AX119" s="11">
        <f t="shared" si="71"/>
        <v>39500</v>
      </c>
      <c r="AY119" s="11"/>
      <c r="AZ119" s="11">
        <v>2006</v>
      </c>
      <c r="BA119" s="20">
        <v>10.094231871403661</v>
      </c>
      <c r="BB119" s="11">
        <v>25.253897559999999</v>
      </c>
      <c r="BC119" s="20">
        <v>9.4</v>
      </c>
      <c r="BD119" s="20">
        <f t="shared" si="72"/>
        <v>7.2547273805629349</v>
      </c>
      <c r="BF119">
        <v>2006</v>
      </c>
      <c r="BG119">
        <v>24203</v>
      </c>
      <c r="BH119" s="8">
        <v>500</v>
      </c>
      <c r="BI119" s="8">
        <v>4700</v>
      </c>
      <c r="BJ119" s="8">
        <f t="shared" si="73"/>
        <v>7563.0277556636902</v>
      </c>
      <c r="BL119" s="6">
        <v>2005</v>
      </c>
      <c r="BM119" s="8">
        <f t="shared" si="74"/>
        <v>12889</v>
      </c>
      <c r="BN119" s="11">
        <f t="shared" si="75"/>
        <v>4825</v>
      </c>
      <c r="BO119" s="11">
        <f t="shared" si="76"/>
        <v>39500</v>
      </c>
      <c r="BQ119">
        <v>2006</v>
      </c>
      <c r="BR119">
        <v>26229</v>
      </c>
      <c r="BS119">
        <v>500</v>
      </c>
      <c r="BT119">
        <v>4700</v>
      </c>
      <c r="BU119" s="8">
        <f t="shared" si="77"/>
        <v>6891.5398019773729</v>
      </c>
      <c r="BX119">
        <v>2005</v>
      </c>
      <c r="BY119" s="8">
        <f t="shared" si="78"/>
        <v>4825</v>
      </c>
      <c r="BZ119" s="8">
        <f t="shared" si="79"/>
        <v>-9.5623609000000016</v>
      </c>
      <c r="CA119" s="8">
        <f t="shared" si="80"/>
        <v>39500</v>
      </c>
      <c r="CC119" s="20">
        <f t="shared" si="81"/>
        <v>8.1865284974093271</v>
      </c>
      <c r="CD119" s="8"/>
      <c r="CE119">
        <v>2005</v>
      </c>
      <c r="CF119" s="20">
        <f t="shared" si="82"/>
        <v>0</v>
      </c>
      <c r="CG119" s="17">
        <f t="shared" si="83"/>
        <v>2.838709677419355E-3</v>
      </c>
      <c r="CH119" s="17">
        <f t="shared" si="84"/>
        <v>0.76737193729999997</v>
      </c>
      <c r="CI119" s="20">
        <f t="shared" si="85"/>
        <v>0</v>
      </c>
      <c r="CJ119" s="8">
        <f t="shared" si="86"/>
        <v>4825</v>
      </c>
      <c r="CK119" s="8">
        <f t="shared" si="87"/>
        <v>39500</v>
      </c>
      <c r="CL119" s="8">
        <f t="shared" si="88"/>
        <v>34874.372441046457</v>
      </c>
    </row>
    <row r="120" spans="37:90" x14ac:dyDescent="0.25">
      <c r="AK120" s="6">
        <v>2006</v>
      </c>
      <c r="AL120" s="8">
        <f t="shared" si="63"/>
        <v>0</v>
      </c>
      <c r="AM120" s="8">
        <f t="shared" si="63"/>
        <v>12.88485516099999</v>
      </c>
      <c r="AN120" s="8">
        <f t="shared" si="63"/>
        <v>24203</v>
      </c>
      <c r="AO120" s="8">
        <f t="shared" si="64"/>
        <v>4825</v>
      </c>
      <c r="AP120" s="11">
        <f t="shared" si="65"/>
        <v>500</v>
      </c>
      <c r="AQ120" s="11">
        <f t="shared" si="66"/>
        <v>2127.7009846760366</v>
      </c>
      <c r="AS120" s="6">
        <v>2006</v>
      </c>
      <c r="AT120" s="11">
        <f t="shared" si="67"/>
        <v>39.657238329999998</v>
      </c>
      <c r="AU120" s="20">
        <f t="shared" si="68"/>
        <v>10.094231871403661</v>
      </c>
      <c r="AV120" s="11">
        <f t="shared" si="69"/>
        <v>25.253897559999999</v>
      </c>
      <c r="AW120" s="11">
        <f t="shared" si="70"/>
        <v>500</v>
      </c>
      <c r="AX120" s="11">
        <f t="shared" si="71"/>
        <v>4700</v>
      </c>
      <c r="AY120" s="11"/>
      <c r="AZ120" s="11">
        <v>2007</v>
      </c>
      <c r="BA120" s="20">
        <v>0</v>
      </c>
      <c r="BB120" s="11">
        <v>148.57683739999999</v>
      </c>
      <c r="BC120" s="20">
        <v>9</v>
      </c>
      <c r="BD120" s="20">
        <f t="shared" si="72"/>
        <v>6.1287016816155582</v>
      </c>
      <c r="BF120">
        <v>2007</v>
      </c>
      <c r="BG120">
        <v>0</v>
      </c>
      <c r="BH120" s="8">
        <v>50</v>
      </c>
      <c r="BI120" s="8">
        <v>450</v>
      </c>
      <c r="BJ120" s="8">
        <f t="shared" si="73"/>
        <v>441.82447530305495</v>
      </c>
      <c r="BL120" s="6">
        <v>2006</v>
      </c>
      <c r="BM120" s="8">
        <f t="shared" si="74"/>
        <v>26229</v>
      </c>
      <c r="BN120" s="11">
        <f t="shared" si="75"/>
        <v>500</v>
      </c>
      <c r="BO120" s="11">
        <f t="shared" si="76"/>
        <v>4700</v>
      </c>
      <c r="BQ120">
        <v>2007</v>
      </c>
      <c r="BR120">
        <v>0</v>
      </c>
      <c r="BS120">
        <v>50</v>
      </c>
      <c r="BT120">
        <v>450</v>
      </c>
      <c r="BU120" s="8">
        <f t="shared" si="77"/>
        <v>433.38738678602562</v>
      </c>
      <c r="BX120">
        <v>2006</v>
      </c>
      <c r="BY120" s="8">
        <f t="shared" si="78"/>
        <v>500</v>
      </c>
      <c r="BZ120" s="8">
        <f t="shared" si="79"/>
        <v>-44.375723860000001</v>
      </c>
      <c r="CA120" s="8">
        <f t="shared" si="80"/>
        <v>4700</v>
      </c>
      <c r="CC120" s="20">
        <f t="shared" si="81"/>
        <v>9.4</v>
      </c>
      <c r="CD120" s="8"/>
      <c r="CE120">
        <v>2006</v>
      </c>
      <c r="CF120" s="20">
        <f t="shared" si="82"/>
        <v>0</v>
      </c>
      <c r="CG120" s="17">
        <f t="shared" si="83"/>
        <v>0</v>
      </c>
      <c r="CH120" s="17">
        <f t="shared" si="84"/>
        <v>0.97962360920000013</v>
      </c>
      <c r="CI120" s="20">
        <f t="shared" si="85"/>
        <v>0</v>
      </c>
      <c r="CJ120" s="8">
        <f t="shared" si="86"/>
        <v>500</v>
      </c>
      <c r="CK120" s="8">
        <f t="shared" si="87"/>
        <v>4700</v>
      </c>
      <c r="CL120" s="8">
        <f t="shared" si="88"/>
        <v>-9547.0068830778582</v>
      </c>
    </row>
    <row r="121" spans="37:90" x14ac:dyDescent="0.25">
      <c r="AK121" s="6">
        <v>2007</v>
      </c>
      <c r="AL121" s="8">
        <f t="shared" si="63"/>
        <v>18853.248329900001</v>
      </c>
      <c r="AM121" s="8">
        <f t="shared" si="63"/>
        <v>43.116035670000002</v>
      </c>
      <c r="AN121" s="8">
        <f t="shared" si="63"/>
        <v>0</v>
      </c>
      <c r="AO121" s="8">
        <f t="shared" si="64"/>
        <v>500</v>
      </c>
      <c r="AP121" s="11">
        <f t="shared" si="65"/>
        <v>50</v>
      </c>
      <c r="AQ121" s="11">
        <f t="shared" si="66"/>
        <v>1600.319473824087</v>
      </c>
      <c r="AS121" s="6">
        <v>2007</v>
      </c>
      <c r="AT121" s="11">
        <f t="shared" si="67"/>
        <v>0.56124721600000005</v>
      </c>
      <c r="AU121" s="20">
        <f t="shared" si="68"/>
        <v>0</v>
      </c>
      <c r="AV121" s="11">
        <f t="shared" si="69"/>
        <v>148.57683739999999</v>
      </c>
      <c r="AW121" s="11">
        <f t="shared" si="70"/>
        <v>50</v>
      </c>
      <c r="AX121" s="11">
        <f t="shared" si="71"/>
        <v>450</v>
      </c>
      <c r="AY121" s="11"/>
      <c r="AZ121" s="11">
        <v>2008</v>
      </c>
      <c r="BA121" s="20">
        <v>12.467370957456682</v>
      </c>
      <c r="BB121" s="11">
        <v>49.621826220000003</v>
      </c>
      <c r="BC121" s="20">
        <v>10.810810810810811</v>
      </c>
      <c r="BD121" s="20">
        <f t="shared" si="72"/>
        <v>9.7205610578767683</v>
      </c>
      <c r="BF121">
        <v>2008</v>
      </c>
      <c r="BG121">
        <v>259723</v>
      </c>
      <c r="BH121" s="8">
        <v>12210</v>
      </c>
      <c r="BI121" s="8">
        <v>132000</v>
      </c>
      <c r="BJ121" s="8">
        <f t="shared" si="73"/>
        <v>141640.28213995948</v>
      </c>
      <c r="BL121" s="6">
        <v>2007</v>
      </c>
      <c r="BM121" s="8">
        <f t="shared" si="74"/>
        <v>0</v>
      </c>
      <c r="BN121" s="11">
        <f t="shared" si="75"/>
        <v>50</v>
      </c>
      <c r="BO121" s="11">
        <f t="shared" si="76"/>
        <v>450</v>
      </c>
      <c r="BQ121">
        <v>2008</v>
      </c>
      <c r="BR121">
        <v>305141</v>
      </c>
      <c r="BS121">
        <v>12210</v>
      </c>
      <c r="BT121">
        <v>132000</v>
      </c>
      <c r="BU121" s="8">
        <f t="shared" si="77"/>
        <v>135588.38460294469</v>
      </c>
      <c r="BX121">
        <v>2007</v>
      </c>
      <c r="BY121" s="8">
        <f t="shared" si="78"/>
        <v>50</v>
      </c>
      <c r="BZ121" s="8">
        <f t="shared" si="79"/>
        <v>128.40757236999997</v>
      </c>
      <c r="CA121" s="8">
        <f t="shared" si="80"/>
        <v>450</v>
      </c>
      <c r="CC121" s="20">
        <f t="shared" si="81"/>
        <v>9</v>
      </c>
      <c r="CD121" s="8"/>
      <c r="CE121">
        <v>2007</v>
      </c>
      <c r="CF121" s="20">
        <f t="shared" si="82"/>
        <v>5.1833870967741937</v>
      </c>
      <c r="CG121" s="17">
        <f t="shared" si="83"/>
        <v>1.2700645161290323</v>
      </c>
      <c r="CH121" s="17">
        <f t="shared" si="84"/>
        <v>1.8438307350000001</v>
      </c>
      <c r="CI121" s="20">
        <f t="shared" si="85"/>
        <v>2.1159280332228461</v>
      </c>
      <c r="CJ121" s="8">
        <f t="shared" si="86"/>
        <v>50</v>
      </c>
      <c r="CK121" s="8">
        <f t="shared" si="87"/>
        <v>450</v>
      </c>
      <c r="CL121" s="8">
        <f t="shared" si="88"/>
        <v>4229.8716070094888</v>
      </c>
    </row>
    <row r="122" spans="37:90" x14ac:dyDescent="0.25">
      <c r="AK122" s="6">
        <v>2008</v>
      </c>
      <c r="AL122" s="8">
        <f t="shared" si="63"/>
        <v>18237.761692924003</v>
      </c>
      <c r="AM122" s="8">
        <f t="shared" si="63"/>
        <v>107.456570161</v>
      </c>
      <c r="AN122" s="8">
        <f t="shared" si="63"/>
        <v>259723</v>
      </c>
      <c r="AO122" s="8">
        <f t="shared" si="64"/>
        <v>50</v>
      </c>
      <c r="AP122" s="11">
        <f t="shared" si="65"/>
        <v>12210</v>
      </c>
      <c r="AQ122" s="11">
        <f t="shared" si="66"/>
        <v>14422.394764156066</v>
      </c>
      <c r="AS122" s="6">
        <v>2008</v>
      </c>
      <c r="AT122" s="11">
        <f t="shared" si="67"/>
        <v>37.024944329999997</v>
      </c>
      <c r="AU122" s="20">
        <f t="shared" si="68"/>
        <v>12.467370957456682</v>
      </c>
      <c r="AV122" s="11">
        <f t="shared" si="69"/>
        <v>49.621826220000003</v>
      </c>
      <c r="AW122" s="11">
        <f t="shared" si="70"/>
        <v>12210</v>
      </c>
      <c r="AX122" s="11">
        <f t="shared" si="71"/>
        <v>132000</v>
      </c>
      <c r="AY122" s="11"/>
      <c r="AZ122" s="11">
        <v>2009</v>
      </c>
      <c r="BA122" s="20">
        <v>0</v>
      </c>
      <c r="BB122" s="11">
        <v>98.988641509999994</v>
      </c>
      <c r="BC122" s="20">
        <v>7.5</v>
      </c>
      <c r="BD122" s="20">
        <f t="shared" si="72"/>
        <v>4.083219593979436</v>
      </c>
      <c r="BF122">
        <v>2009</v>
      </c>
      <c r="BG122">
        <v>0</v>
      </c>
      <c r="BH122" s="8">
        <v>2000</v>
      </c>
      <c r="BI122" s="8">
        <v>15000</v>
      </c>
      <c r="BJ122" s="8">
        <f t="shared" si="73"/>
        <v>17672.979012122199</v>
      </c>
      <c r="BL122" s="6">
        <v>2008</v>
      </c>
      <c r="BM122" s="8">
        <f t="shared" si="74"/>
        <v>305141</v>
      </c>
      <c r="BN122" s="11">
        <f t="shared" si="75"/>
        <v>12210</v>
      </c>
      <c r="BO122" s="11">
        <f t="shared" si="76"/>
        <v>132000</v>
      </c>
      <c r="BQ122">
        <v>2009</v>
      </c>
      <c r="BR122">
        <v>0</v>
      </c>
      <c r="BS122">
        <v>2000</v>
      </c>
      <c r="BT122">
        <v>15000</v>
      </c>
      <c r="BU122" s="8">
        <f t="shared" si="77"/>
        <v>17335.495471441023</v>
      </c>
      <c r="BX122">
        <v>2008</v>
      </c>
      <c r="BY122" s="8">
        <f t="shared" si="78"/>
        <v>12210</v>
      </c>
      <c r="BZ122" s="8">
        <f t="shared" si="79"/>
        <v>1.6781735900000001</v>
      </c>
      <c r="CA122" s="8">
        <f t="shared" si="80"/>
        <v>132000</v>
      </c>
      <c r="CC122" s="20">
        <f t="shared" si="81"/>
        <v>10.810810810810811</v>
      </c>
      <c r="CD122" s="8"/>
      <c r="CE122">
        <v>2008</v>
      </c>
      <c r="CF122" s="20">
        <f t="shared" si="82"/>
        <v>0</v>
      </c>
      <c r="CG122" s="17">
        <f t="shared" si="83"/>
        <v>0</v>
      </c>
      <c r="CH122" s="17">
        <f t="shared" si="84"/>
        <v>1.3634342984000001</v>
      </c>
      <c r="CI122" s="20">
        <f t="shared" si="85"/>
        <v>0.31000673615059149</v>
      </c>
      <c r="CJ122" s="8">
        <f t="shared" si="86"/>
        <v>12210</v>
      </c>
      <c r="CK122" s="8">
        <f t="shared" si="87"/>
        <v>132000</v>
      </c>
      <c r="CL122" s="8">
        <f t="shared" si="88"/>
        <v>113420.13975595431</v>
      </c>
    </row>
    <row r="123" spans="37:90" x14ac:dyDescent="0.25">
      <c r="AK123" s="6">
        <v>2009</v>
      </c>
      <c r="AL123" s="8">
        <f t="shared" si="63"/>
        <v>151427.75192139513</v>
      </c>
      <c r="AM123" s="8">
        <f t="shared" si="63"/>
        <v>130.11492196099999</v>
      </c>
      <c r="AN123" s="8">
        <f t="shared" si="63"/>
        <v>0</v>
      </c>
      <c r="AO123" s="8">
        <f t="shared" si="64"/>
        <v>12210</v>
      </c>
      <c r="AP123" s="11">
        <f t="shared" si="65"/>
        <v>2000</v>
      </c>
      <c r="AQ123" s="11">
        <f t="shared" si="66"/>
        <v>9080.5263878316237</v>
      </c>
      <c r="AS123" s="6">
        <v>2009</v>
      </c>
      <c r="AT123" s="11">
        <f t="shared" si="67"/>
        <v>8.3717149329999998</v>
      </c>
      <c r="AU123" s="20">
        <f t="shared" si="68"/>
        <v>0</v>
      </c>
      <c r="AV123" s="11">
        <f t="shared" si="69"/>
        <v>98.988641509999994</v>
      </c>
      <c r="AW123" s="11">
        <f t="shared" si="70"/>
        <v>2000</v>
      </c>
      <c r="AX123" s="11">
        <f t="shared" si="71"/>
        <v>15000</v>
      </c>
      <c r="AY123" s="11"/>
      <c r="AZ123" s="11">
        <v>2010</v>
      </c>
      <c r="BA123" s="20">
        <v>13.084750810490458</v>
      </c>
      <c r="BB123" s="11">
        <v>86.240311860000006</v>
      </c>
      <c r="BC123" s="20">
        <v>10.7</v>
      </c>
      <c r="BD123" s="20">
        <f t="shared" si="72"/>
        <v>11.611049237188254</v>
      </c>
      <c r="BF123">
        <v>2010</v>
      </c>
      <c r="BG123">
        <v>481543</v>
      </c>
      <c r="BH123" s="8">
        <v>31000</v>
      </c>
      <c r="BI123" s="8">
        <v>331700</v>
      </c>
      <c r="BJ123" s="8">
        <f t="shared" si="73"/>
        <v>336499.79186084657</v>
      </c>
      <c r="BL123" s="6">
        <v>2009</v>
      </c>
      <c r="BM123" s="8">
        <f t="shared" si="74"/>
        <v>0</v>
      </c>
      <c r="BN123" s="11">
        <f t="shared" si="75"/>
        <v>2000</v>
      </c>
      <c r="BO123" s="11">
        <f t="shared" si="76"/>
        <v>15000</v>
      </c>
      <c r="BQ123">
        <v>2010</v>
      </c>
      <c r="BR123">
        <v>793816</v>
      </c>
      <c r="BS123">
        <v>31000</v>
      </c>
      <c r="BT123">
        <v>331700</v>
      </c>
      <c r="BU123" s="8">
        <f t="shared" si="77"/>
        <v>346107.48245543963</v>
      </c>
      <c r="BX123">
        <v>2009</v>
      </c>
      <c r="BY123" s="8">
        <f t="shared" si="78"/>
        <v>2000</v>
      </c>
      <c r="BZ123" s="8">
        <f t="shared" si="79"/>
        <v>10.086191639999996</v>
      </c>
      <c r="CA123" s="8">
        <f t="shared" si="80"/>
        <v>15000</v>
      </c>
      <c r="CC123" s="20">
        <f t="shared" si="81"/>
        <v>7.5</v>
      </c>
      <c r="CD123" s="8"/>
      <c r="CE123">
        <v>2009</v>
      </c>
      <c r="CF123" s="20">
        <f t="shared" si="82"/>
        <v>4.2700967741935481</v>
      </c>
      <c r="CG123" s="17">
        <f t="shared" si="83"/>
        <v>0.77932258064516124</v>
      </c>
      <c r="CH123" s="17">
        <f t="shared" si="84"/>
        <v>1.7732316262000001</v>
      </c>
      <c r="CI123" s="20">
        <f t="shared" si="85"/>
        <v>1.9202481032255876</v>
      </c>
      <c r="CJ123" s="8">
        <f t="shared" si="86"/>
        <v>2000</v>
      </c>
      <c r="CK123" s="8">
        <f t="shared" si="87"/>
        <v>15000</v>
      </c>
      <c r="CL123" s="8">
        <f t="shared" si="88"/>
        <v>22556.500502048642</v>
      </c>
    </row>
    <row r="124" spans="37:90" x14ac:dyDescent="0.25">
      <c r="AK124" s="6">
        <v>2010</v>
      </c>
      <c r="AL124" s="8">
        <f t="shared" si="63"/>
        <v>127444.55815459513</v>
      </c>
      <c r="AM124" s="8">
        <f t="shared" si="63"/>
        <v>233.23919794</v>
      </c>
      <c r="AN124" s="8">
        <f t="shared" si="63"/>
        <v>481543</v>
      </c>
      <c r="AO124" s="8">
        <f t="shared" si="64"/>
        <v>2000</v>
      </c>
      <c r="AP124" s="11">
        <f t="shared" si="65"/>
        <v>31000</v>
      </c>
      <c r="AQ124" s="11">
        <f t="shared" si="66"/>
        <v>30373.291676416346</v>
      </c>
      <c r="AS124" s="6">
        <v>2010</v>
      </c>
      <c r="AT124" s="11">
        <f t="shared" si="67"/>
        <v>70.105122519999995</v>
      </c>
      <c r="AU124" s="20">
        <f t="shared" si="68"/>
        <v>13.084750810490458</v>
      </c>
      <c r="AV124" s="11">
        <f t="shared" si="69"/>
        <v>86.240311860000006</v>
      </c>
      <c r="AW124" s="11">
        <f t="shared" si="70"/>
        <v>31000</v>
      </c>
      <c r="AX124" s="11">
        <f t="shared" si="71"/>
        <v>331700</v>
      </c>
      <c r="AY124" s="11"/>
      <c r="AZ124" s="11">
        <v>2011</v>
      </c>
      <c r="BA124" s="20">
        <v>12.536950692380783</v>
      </c>
      <c r="BB124" s="11">
        <v>102.910245</v>
      </c>
      <c r="BC124" s="20">
        <v>10.5</v>
      </c>
      <c r="BD124" s="20">
        <f t="shared" si="72"/>
        <v>11.961501492970589</v>
      </c>
      <c r="BF124">
        <v>2011</v>
      </c>
      <c r="BG124">
        <v>278438</v>
      </c>
      <c r="BH124" s="8">
        <v>30000</v>
      </c>
      <c r="BI124" s="8">
        <v>315000</v>
      </c>
      <c r="BJ124" s="8">
        <f t="shared" si="73"/>
        <v>301273.13784006407</v>
      </c>
      <c r="BL124" s="6">
        <v>2010</v>
      </c>
      <c r="BM124" s="8">
        <f t="shared" si="74"/>
        <v>793816</v>
      </c>
      <c r="BN124" s="11">
        <f t="shared" si="75"/>
        <v>31000</v>
      </c>
      <c r="BO124" s="11">
        <f t="shared" si="76"/>
        <v>331700</v>
      </c>
      <c r="BQ124">
        <v>2011</v>
      </c>
      <c r="BR124">
        <v>374777</v>
      </c>
      <c r="BS124">
        <v>30000</v>
      </c>
      <c r="BT124">
        <v>315000</v>
      </c>
      <c r="BU124" s="8">
        <f t="shared" si="77"/>
        <v>296578.02533825196</v>
      </c>
      <c r="BX124">
        <v>2010</v>
      </c>
      <c r="BY124" s="8">
        <f t="shared" si="78"/>
        <v>31000</v>
      </c>
      <c r="BZ124" s="8">
        <f t="shared" si="79"/>
        <v>94.852338459999999</v>
      </c>
      <c r="CA124" s="8">
        <f t="shared" si="80"/>
        <v>331700</v>
      </c>
      <c r="CC124" s="20">
        <f t="shared" si="81"/>
        <v>10.7</v>
      </c>
      <c r="CD124" s="8"/>
      <c r="CE124">
        <v>2010</v>
      </c>
      <c r="CF124" s="20">
        <f t="shared" si="82"/>
        <v>4.459161290322581</v>
      </c>
      <c r="CG124" s="17">
        <f t="shared" si="83"/>
        <v>1.4910322580645161</v>
      </c>
      <c r="CH124" s="17">
        <f t="shared" si="84"/>
        <v>0.82926726120000016</v>
      </c>
      <c r="CI124" s="20">
        <f t="shared" si="85"/>
        <v>1.9138975721803231</v>
      </c>
      <c r="CJ124" s="8">
        <f t="shared" si="86"/>
        <v>31000</v>
      </c>
      <c r="CK124" s="8">
        <f t="shared" si="87"/>
        <v>331700</v>
      </c>
      <c r="CL124" s="8">
        <f t="shared" si="88"/>
        <v>320355.61570055463</v>
      </c>
    </row>
    <row r="125" spans="37:90" x14ac:dyDescent="0.25">
      <c r="AK125" s="6">
        <v>2011</v>
      </c>
      <c r="AL125" s="8">
        <f t="shared" si="63"/>
        <v>505146.10825669509</v>
      </c>
      <c r="AM125" s="8">
        <f t="shared" si="63"/>
        <v>30.575501160000016</v>
      </c>
      <c r="AN125" s="8">
        <f t="shared" si="63"/>
        <v>278438</v>
      </c>
      <c r="AO125" s="8">
        <f t="shared" si="64"/>
        <v>31000</v>
      </c>
      <c r="AP125" s="11">
        <f t="shared" si="65"/>
        <v>30000</v>
      </c>
      <c r="AQ125" s="11">
        <f t="shared" si="66"/>
        <v>31514.969061732441</v>
      </c>
      <c r="AS125" s="6">
        <v>2011</v>
      </c>
      <c r="AT125" s="11">
        <f t="shared" si="67"/>
        <v>19.229621399999999</v>
      </c>
      <c r="AU125" s="20">
        <f t="shared" si="68"/>
        <v>12.536950692380783</v>
      </c>
      <c r="AV125" s="11">
        <f t="shared" si="69"/>
        <v>102.910245</v>
      </c>
      <c r="AW125" s="11">
        <f t="shared" si="70"/>
        <v>30000</v>
      </c>
      <c r="AX125" s="11">
        <f t="shared" si="71"/>
        <v>315000</v>
      </c>
      <c r="AZ125" s="11">
        <v>2012</v>
      </c>
      <c r="BA125" s="20">
        <v>11.883709407237721</v>
      </c>
      <c r="BB125" s="11">
        <v>36.837639189999997</v>
      </c>
      <c r="BC125" s="20">
        <v>11</v>
      </c>
      <c r="BD125" s="20">
        <f t="shared" si="72"/>
        <v>8.8339764824611091</v>
      </c>
      <c r="BF125">
        <v>2012</v>
      </c>
      <c r="BG125">
        <v>144887</v>
      </c>
      <c r="BH125" s="8">
        <v>30965</v>
      </c>
      <c r="BI125" s="8">
        <v>340615</v>
      </c>
      <c r="BJ125" s="8">
        <f t="shared" si="73"/>
        <v>292447.58754826162</v>
      </c>
      <c r="BL125" s="6">
        <v>2011</v>
      </c>
      <c r="BM125" s="8">
        <f t="shared" si="74"/>
        <v>374777</v>
      </c>
      <c r="BN125" s="11">
        <f t="shared" si="75"/>
        <v>30000</v>
      </c>
      <c r="BO125" s="11">
        <f t="shared" si="76"/>
        <v>315000</v>
      </c>
      <c r="BQ125">
        <v>2012</v>
      </c>
      <c r="BR125">
        <v>241247</v>
      </c>
      <c r="BS125">
        <v>30965</v>
      </c>
      <c r="BT125">
        <v>340615</v>
      </c>
      <c r="BU125" s="8">
        <f t="shared" si="77"/>
        <v>291921.5039588607</v>
      </c>
      <c r="BX125">
        <v>2011</v>
      </c>
      <c r="BY125" s="8">
        <f t="shared" si="78"/>
        <v>30000</v>
      </c>
      <c r="BZ125" s="8">
        <f t="shared" si="79"/>
        <v>142.71648110000001</v>
      </c>
      <c r="CA125" s="8">
        <f t="shared" si="80"/>
        <v>315000</v>
      </c>
      <c r="CC125" s="20">
        <f t="shared" si="81"/>
        <v>10.5</v>
      </c>
      <c r="CD125" s="8"/>
      <c r="CE125">
        <v>2011</v>
      </c>
      <c r="CF125" s="20">
        <f t="shared" si="82"/>
        <v>1.2823225806451612</v>
      </c>
      <c r="CG125" s="17">
        <f t="shared" si="83"/>
        <v>0.64970967741935481</v>
      </c>
      <c r="CH125" s="17">
        <f t="shared" si="84"/>
        <v>2.9273251710000001</v>
      </c>
      <c r="CI125" s="20">
        <f t="shared" si="85"/>
        <v>1.5809062129291955</v>
      </c>
      <c r="CJ125" s="8">
        <f t="shared" si="86"/>
        <v>30000</v>
      </c>
      <c r="CK125" s="8">
        <f t="shared" si="87"/>
        <v>315000</v>
      </c>
      <c r="CL125" s="8">
        <f t="shared" si="88"/>
        <v>307189.29678527167</v>
      </c>
    </row>
    <row r="126" spans="37:90" x14ac:dyDescent="0.25">
      <c r="AK126" s="6">
        <v>2012</v>
      </c>
      <c r="AL126" s="8">
        <f t="shared" si="63"/>
        <v>551414.15515269502</v>
      </c>
      <c r="AM126" s="8">
        <f t="shared" si="63"/>
        <v>251.96414289999996</v>
      </c>
      <c r="AN126" s="8">
        <f t="shared" si="63"/>
        <v>144887</v>
      </c>
      <c r="AO126" s="8">
        <f t="shared" si="64"/>
        <v>30000</v>
      </c>
      <c r="AP126" s="11">
        <f t="shared" si="65"/>
        <v>30965</v>
      </c>
      <c r="AQ126" s="11">
        <f t="shared" si="66"/>
        <v>31937.477785666397</v>
      </c>
      <c r="AS126" s="6">
        <v>2012</v>
      </c>
      <c r="AT126" s="11">
        <f t="shared" si="67"/>
        <v>39.378619139999998</v>
      </c>
      <c r="AU126" s="20">
        <f t="shared" si="68"/>
        <v>11.883709407237721</v>
      </c>
      <c r="AV126" s="11">
        <f t="shared" si="69"/>
        <v>36.837639189999997</v>
      </c>
      <c r="AW126" s="11">
        <f t="shared" si="70"/>
        <v>30965</v>
      </c>
      <c r="AX126" s="11">
        <f t="shared" si="71"/>
        <v>340615</v>
      </c>
      <c r="AZ126" s="11">
        <v>2013</v>
      </c>
      <c r="BA126" s="20">
        <v>12.657075013799952</v>
      </c>
      <c r="BB126" s="11">
        <v>4.259020048</v>
      </c>
      <c r="BC126" s="20">
        <v>10.984522968197879</v>
      </c>
      <c r="BD126" s="20">
        <f t="shared" si="72"/>
        <v>7.9661368810218649</v>
      </c>
      <c r="BF126">
        <v>2013</v>
      </c>
      <c r="BG126">
        <v>313977</v>
      </c>
      <c r="BH126" s="8">
        <v>28300</v>
      </c>
      <c r="BI126" s="8">
        <v>310862</v>
      </c>
      <c r="BJ126" s="8">
        <f t="shared" si="73"/>
        <v>290868.81601032161</v>
      </c>
      <c r="BL126" s="6">
        <v>2012</v>
      </c>
      <c r="BM126" s="8">
        <f t="shared" si="74"/>
        <v>241247</v>
      </c>
      <c r="BN126" s="11">
        <f t="shared" si="75"/>
        <v>30965</v>
      </c>
      <c r="BO126" s="11">
        <f t="shared" si="76"/>
        <v>340615</v>
      </c>
      <c r="BQ126">
        <v>2013</v>
      </c>
      <c r="BR126">
        <v>586294</v>
      </c>
      <c r="BS126">
        <v>28300</v>
      </c>
      <c r="BT126">
        <v>310862</v>
      </c>
      <c r="BU126" s="8">
        <f t="shared" si="77"/>
        <v>302468.49090210447</v>
      </c>
      <c r="BX126">
        <v>2012</v>
      </c>
      <c r="BY126" s="8">
        <f t="shared" si="78"/>
        <v>30965</v>
      </c>
      <c r="BZ126" s="8">
        <f t="shared" si="79"/>
        <v>-47.783518920000006</v>
      </c>
      <c r="CA126" s="8">
        <f t="shared" si="80"/>
        <v>340615</v>
      </c>
      <c r="CC126" s="20">
        <f t="shared" si="81"/>
        <v>11</v>
      </c>
      <c r="CD126" s="8"/>
      <c r="CE126">
        <v>2012</v>
      </c>
      <c r="CF126" s="20">
        <f t="shared" si="82"/>
        <v>7.1463870967741938</v>
      </c>
      <c r="CG126" s="17">
        <f t="shared" si="83"/>
        <v>6.4475483870967745</v>
      </c>
      <c r="CH126" s="17">
        <f t="shared" si="84"/>
        <v>0.78189086759999993</v>
      </c>
      <c r="CI126" s="20">
        <f t="shared" si="85"/>
        <v>2.665548070350916</v>
      </c>
      <c r="CJ126" s="8">
        <f t="shared" si="86"/>
        <v>30965</v>
      </c>
      <c r="CK126" s="8">
        <f t="shared" si="87"/>
        <v>340615</v>
      </c>
      <c r="CL126" s="8">
        <f t="shared" si="88"/>
        <v>326532.00805035833</v>
      </c>
    </row>
    <row r="127" spans="37:90" x14ac:dyDescent="0.25">
      <c r="AK127" s="6">
        <v>2013</v>
      </c>
      <c r="AL127" s="8">
        <f t="shared" si="63"/>
        <v>339757.68597495853</v>
      </c>
      <c r="AM127" s="8">
        <f t="shared" si="63"/>
        <v>43.812472114000002</v>
      </c>
      <c r="AN127" s="8">
        <f t="shared" si="63"/>
        <v>313977</v>
      </c>
      <c r="AO127" s="8">
        <f t="shared" si="64"/>
        <v>30965</v>
      </c>
      <c r="AP127" s="11">
        <f t="shared" si="65"/>
        <v>28300</v>
      </c>
      <c r="AQ127" s="11">
        <f t="shared" si="66"/>
        <v>28903.503794051907</v>
      </c>
      <c r="AS127" s="6">
        <v>2013</v>
      </c>
      <c r="AT127" s="11">
        <f t="shared" si="67"/>
        <v>13.25434299</v>
      </c>
      <c r="AU127" s="20">
        <f t="shared" si="68"/>
        <v>12.657075013799952</v>
      </c>
      <c r="AV127" s="11">
        <f t="shared" si="69"/>
        <v>4.259020048</v>
      </c>
      <c r="AW127" s="11">
        <f t="shared" si="70"/>
        <v>28300</v>
      </c>
      <c r="AX127" s="11">
        <f t="shared" si="71"/>
        <v>310862</v>
      </c>
      <c r="BL127" s="6">
        <v>2013</v>
      </c>
      <c r="BM127" s="8">
        <f t="shared" si="74"/>
        <v>586294</v>
      </c>
      <c r="BN127" s="11">
        <f t="shared" si="75"/>
        <v>28300</v>
      </c>
      <c r="BO127" s="11">
        <f t="shared" si="76"/>
        <v>310862</v>
      </c>
      <c r="BR127" s="74" t="s">
        <v>99</v>
      </c>
      <c r="BS127" s="74" t="s">
        <v>100</v>
      </c>
      <c r="BX127">
        <v>2013</v>
      </c>
      <c r="BY127" s="8">
        <f t="shared" si="78"/>
        <v>28300</v>
      </c>
      <c r="BZ127" s="8">
        <f t="shared" si="79"/>
        <v>-71.243875242000001</v>
      </c>
      <c r="CA127" s="8">
        <f t="shared" si="80"/>
        <v>310862</v>
      </c>
      <c r="CC127" s="20">
        <f t="shared" si="81"/>
        <v>10.984522968197879</v>
      </c>
      <c r="CE127">
        <v>2013</v>
      </c>
      <c r="CF127" s="20">
        <f t="shared" si="82"/>
        <v>0</v>
      </c>
      <c r="CG127" s="17">
        <f t="shared" si="83"/>
        <v>0</v>
      </c>
      <c r="CH127" s="17">
        <f t="shared" si="84"/>
        <v>0.80828730500000001</v>
      </c>
      <c r="CI127" s="20">
        <f t="shared" si="85"/>
        <v>0</v>
      </c>
      <c r="CJ127" s="8">
        <f t="shared" si="86"/>
        <v>28300</v>
      </c>
      <c r="CK127" s="8">
        <f t="shared" si="87"/>
        <v>310862</v>
      </c>
      <c r="CL127" s="8">
        <f t="shared" si="88"/>
        <v>275982.32148932817</v>
      </c>
    </row>
    <row r="128" spans="37:90" x14ac:dyDescent="0.25">
      <c r="AL128" t="s">
        <v>75</v>
      </c>
      <c r="AM128" t="s">
        <v>67</v>
      </c>
      <c r="AN128" t="s">
        <v>73</v>
      </c>
      <c r="AO128" t="s">
        <v>72</v>
      </c>
      <c r="BA128">
        <f t="array" ref="BA128:BB132">LINEST(BC113:BC126,BA113:BB126,0,1)</f>
        <v>4.1249374995887204E-2</v>
      </c>
      <c r="BB128">
        <v>0.61550199848329989</v>
      </c>
      <c r="BG128">
        <f t="array" ref="BG128:BH132">LINEST(BI113:BI126,BG113:BH126,0,1)</f>
        <v>8.8364895060610991</v>
      </c>
      <c r="BH128">
        <v>0.12993360338111556</v>
      </c>
      <c r="BR128" s="74">
        <f t="array" ref="BR128:BS132">LINEST(BT113:BT126,BR113:BS126,0,1)</f>
        <v>8.6677477357205124</v>
      </c>
      <c r="BS128" s="74">
        <v>9.7512903050711711E-2</v>
      </c>
      <c r="CG128" s="23" t="s">
        <v>69</v>
      </c>
      <c r="CH128" s="23" t="s">
        <v>578</v>
      </c>
      <c r="CI128" s="23" t="s">
        <v>260</v>
      </c>
    </row>
    <row r="129" spans="37:87" x14ac:dyDescent="0.25">
      <c r="AL129">
        <f t="array" ref="AL129:AP133">LINEST(AP113:AP127,AL113:AO127,0,1)</f>
        <v>0.15816048962807924</v>
      </c>
      <c r="AM129">
        <v>4.3897876285234921E-2</v>
      </c>
      <c r="AN129">
        <v>23.447397639630598</v>
      </c>
      <c r="AO129">
        <v>2.7065913898868543E-2</v>
      </c>
      <c r="AP129">
        <v>0</v>
      </c>
      <c r="BA129">
        <v>1.027369119427651E-2</v>
      </c>
      <c r="BB129">
        <v>7.5616117097401278E-2</v>
      </c>
      <c r="BG129">
        <v>0.69615005440713429</v>
      </c>
      <c r="BH129">
        <v>6.7016481793472277E-2</v>
      </c>
      <c r="BR129">
        <v>0.60033528082232512</v>
      </c>
      <c r="BS129">
        <v>3.7353048413967069E-2</v>
      </c>
      <c r="BY129">
        <f t="array" ref="BY129:CA133">LINEST(CA113:CA127,BY113:BZ127,0,1)</f>
        <v>-54.044448983222793</v>
      </c>
      <c r="BZ129">
        <v>10.112672175189548</v>
      </c>
      <c r="CA129">
        <v>0</v>
      </c>
      <c r="CG129" s="15">
        <f t="array" ref="CG129:CI133">LINEST(CK113:CK127,CI113:CJ127,1,1)</f>
        <v>10.270839150086546</v>
      </c>
      <c r="CH129" s="11">
        <v>8695.360058915845</v>
      </c>
      <c r="CI129" s="11">
        <v>-14682.426458121132</v>
      </c>
    </row>
    <row r="130" spans="37:87" x14ac:dyDescent="0.25">
      <c r="AL130">
        <v>0.11821487944416464</v>
      </c>
      <c r="AM130">
        <v>9.0006850032808387E-3</v>
      </c>
      <c r="AN130">
        <v>13.785461029822065</v>
      </c>
      <c r="AO130">
        <v>9.6897573378585261E-3</v>
      </c>
      <c r="AP130" t="e">
        <v>#N/A</v>
      </c>
      <c r="BA130">
        <v>0.94699728856097076</v>
      </c>
      <c r="BB130">
        <v>2.3092317531978916</v>
      </c>
      <c r="BG130">
        <v>0.98783513715183846</v>
      </c>
      <c r="BH130">
        <v>23756.4449446336</v>
      </c>
      <c r="BR130">
        <v>0.9898110093640442</v>
      </c>
      <c r="BS130">
        <v>21741.696245015213</v>
      </c>
      <c r="BY130">
        <v>100.87017910513468</v>
      </c>
      <c r="BZ130">
        <v>0.38084894861840984</v>
      </c>
      <c r="CA130" t="e">
        <v>#N/A</v>
      </c>
      <c r="CG130" s="15">
        <v>0.5257372452360336</v>
      </c>
      <c r="CH130" s="11">
        <v>6478.4461026936779</v>
      </c>
      <c r="CI130" s="11">
        <v>11165.191799307813</v>
      </c>
    </row>
    <row r="131" spans="37:87" x14ac:dyDescent="0.25">
      <c r="AL131">
        <v>0.9615703355380415</v>
      </c>
      <c r="AM131">
        <v>4360.3627752570601</v>
      </c>
      <c r="AN131" t="e">
        <v>#N/A</v>
      </c>
      <c r="AO131" t="e">
        <v>#N/A</v>
      </c>
      <c r="AP131" t="e">
        <v>#N/A</v>
      </c>
      <c r="BA131">
        <v>107.20175585549039</v>
      </c>
      <c r="BB131">
        <v>12</v>
      </c>
      <c r="BG131">
        <v>487.22380982756198</v>
      </c>
      <c r="BH131">
        <v>12</v>
      </c>
      <c r="BR131">
        <v>582.87089157061814</v>
      </c>
      <c r="BS131">
        <v>12</v>
      </c>
      <c r="BY131">
        <v>0.98436957594601038</v>
      </c>
      <c r="BZ131">
        <v>25872.129090436702</v>
      </c>
      <c r="CA131" t="e">
        <v>#N/A</v>
      </c>
      <c r="CG131">
        <v>0.97046269922242856</v>
      </c>
      <c r="CH131">
        <v>24826.735108704746</v>
      </c>
      <c r="CI131" t="e">
        <v>#N/A</v>
      </c>
    </row>
    <row r="132" spans="37:87" x14ac:dyDescent="0.25">
      <c r="AL132">
        <v>68.809302910963922</v>
      </c>
      <c r="AM132">
        <v>11</v>
      </c>
      <c r="AN132" t="e">
        <v>#N/A</v>
      </c>
      <c r="AO132" t="e">
        <v>#N/A</v>
      </c>
      <c r="AP132" t="e">
        <v>#N/A</v>
      </c>
      <c r="BA132">
        <v>1143.317722950077</v>
      </c>
      <c r="BB132">
        <v>63.990615479728902</v>
      </c>
      <c r="BG132">
        <v>549947713333.11108</v>
      </c>
      <c r="BH132">
        <v>6772424116.8888893</v>
      </c>
      <c r="BR132">
        <v>551047721182.67395</v>
      </c>
      <c r="BS132">
        <v>5672416267.3261032</v>
      </c>
      <c r="BY132">
        <v>409.35564009959819</v>
      </c>
      <c r="BZ132">
        <v>13</v>
      </c>
      <c r="CA132" t="e">
        <v>#N/A</v>
      </c>
      <c r="CG132">
        <v>197.13298243406138</v>
      </c>
      <c r="CH132">
        <v>12</v>
      </c>
      <c r="CI132" t="e">
        <v>#N/A</v>
      </c>
    </row>
    <row r="133" spans="37:87" x14ac:dyDescent="0.25">
      <c r="AL133">
        <v>5233020020.1496782</v>
      </c>
      <c r="AM133">
        <v>209140398.85032195</v>
      </c>
      <c r="AN133" t="e">
        <v>#N/A</v>
      </c>
      <c r="AO133" t="e">
        <v>#N/A</v>
      </c>
      <c r="AP133" t="e">
        <v>#N/A</v>
      </c>
      <c r="BY133">
        <v>548018365622.26111</v>
      </c>
      <c r="BZ133">
        <v>8701771827.7388744</v>
      </c>
      <c r="CA133" t="e">
        <v>#N/A</v>
      </c>
      <c r="CG133">
        <v>243012441714.50647</v>
      </c>
      <c r="CH133">
        <v>7396401313.8935146</v>
      </c>
      <c r="CI133" t="e">
        <v>#N/A</v>
      </c>
    </row>
    <row r="135" spans="37:87" x14ac:dyDescent="0.25">
      <c r="AK135" t="s">
        <v>78</v>
      </c>
      <c r="AL135" t="s">
        <v>72</v>
      </c>
      <c r="AM135" t="s">
        <v>67</v>
      </c>
      <c r="AN135" t="s">
        <v>75</v>
      </c>
      <c r="AO135" t="s">
        <v>69</v>
      </c>
      <c r="AP135" t="s">
        <v>74</v>
      </c>
      <c r="AS135" t="s">
        <v>78</v>
      </c>
      <c r="AT135" t="s">
        <v>72</v>
      </c>
      <c r="AU135" t="s">
        <v>67</v>
      </c>
      <c r="AV135" t="s">
        <v>75</v>
      </c>
      <c r="AW135" t="s">
        <v>576</v>
      </c>
      <c r="AX135" t="s">
        <v>69</v>
      </c>
      <c r="AY135" t="s">
        <v>74</v>
      </c>
      <c r="BB135" t="s">
        <v>78</v>
      </c>
      <c r="BC135" t="s">
        <v>72</v>
      </c>
      <c r="BD135" t="s">
        <v>67</v>
      </c>
      <c r="BE135" t="s">
        <v>75</v>
      </c>
      <c r="BF135" t="s">
        <v>577</v>
      </c>
      <c r="BG135" t="s">
        <v>69</v>
      </c>
      <c r="BH135" t="s">
        <v>74</v>
      </c>
      <c r="BK135" t="s">
        <v>78</v>
      </c>
      <c r="BL135" t="s">
        <v>72</v>
      </c>
      <c r="BM135" t="s">
        <v>67</v>
      </c>
      <c r="BN135" t="s">
        <v>577</v>
      </c>
      <c r="BO135" t="s">
        <v>69</v>
      </c>
      <c r="BP135" t="s">
        <v>74</v>
      </c>
    </row>
    <row r="136" spans="37:87" x14ac:dyDescent="0.25">
      <c r="AK136" s="10">
        <v>1999</v>
      </c>
      <c r="AL136" s="8">
        <f t="shared" ref="AL136:AL150" si="89">AL113</f>
        <v>292683.62807700003</v>
      </c>
      <c r="AM136" s="8">
        <f t="shared" ref="AM136:AO150" si="90">AN113</f>
        <v>198344</v>
      </c>
      <c r="AN136" s="8">
        <f t="shared" si="90"/>
        <v>15000</v>
      </c>
      <c r="AO136" s="11">
        <f t="shared" si="90"/>
        <v>22000</v>
      </c>
      <c r="AP136" s="8">
        <f t="shared" ref="AP136:AP150" si="91">($AN$153*AL136)+($AM$153*AM136)+($AL$153*AN136)</f>
        <v>21829.742064747476</v>
      </c>
      <c r="AS136">
        <v>1999</v>
      </c>
      <c r="AT136" s="8">
        <v>292683.62807700003</v>
      </c>
      <c r="AU136" s="8">
        <v>198344</v>
      </c>
      <c r="AV136" s="8">
        <v>15000</v>
      </c>
      <c r="AW136" s="8">
        <v>0</v>
      </c>
      <c r="AX136" s="11">
        <v>22000</v>
      </c>
      <c r="AY136" s="8">
        <f t="shared" ref="AY136:AY150" si="92">($AW$153*AT136)+($AV$153*AU136)+($AU$153*AV136)+($AT$153*AW136)</f>
        <v>20875.476271260388</v>
      </c>
      <c r="BB136">
        <v>1999</v>
      </c>
      <c r="BC136" s="8">
        <v>292683.62807700003</v>
      </c>
      <c r="BD136" s="8">
        <v>198344</v>
      </c>
      <c r="BE136" s="8">
        <v>15000</v>
      </c>
      <c r="BF136" s="20">
        <f t="shared" ref="BF136:BF150" si="93">K5+L5</f>
        <v>158.94187060000002</v>
      </c>
      <c r="BG136" s="11">
        <v>22000</v>
      </c>
      <c r="BH136" s="8">
        <f t="shared" ref="BH136:BH150" si="94">($BF$153*BC136)+($BE$153*BD136)+($BD$153*BE136)+($BC$153*BF136)</f>
        <v>23687.618353127913</v>
      </c>
      <c r="BK136">
        <v>1999</v>
      </c>
      <c r="BL136" s="8">
        <v>292683.62807700003</v>
      </c>
      <c r="BM136" s="8">
        <v>198344</v>
      </c>
      <c r="BN136" s="11">
        <f t="shared" ref="BN136:BN150" si="95">K5+L5</f>
        <v>158.94187060000002</v>
      </c>
      <c r="BO136" s="11">
        <v>22000</v>
      </c>
      <c r="BP136" s="8">
        <f t="shared" ref="BP136:BP150" si="96">($BN$153*BL136)+($BM$153*BM136)+($BL$153*BN136)</f>
        <v>24250.481511415011</v>
      </c>
    </row>
    <row r="137" spans="37:87" x14ac:dyDescent="0.25">
      <c r="AK137" s="10">
        <v>2000</v>
      </c>
      <c r="AL137" s="8">
        <f t="shared" si="89"/>
        <v>297634.34521060006</v>
      </c>
      <c r="AM137" s="8">
        <f t="shared" si="90"/>
        <v>35701</v>
      </c>
      <c r="AN137" s="8">
        <f t="shared" si="90"/>
        <v>22000</v>
      </c>
      <c r="AO137" s="11">
        <f t="shared" si="90"/>
        <v>25687</v>
      </c>
      <c r="AP137" s="8">
        <f t="shared" si="91"/>
        <v>14650.36738571163</v>
      </c>
      <c r="AS137">
        <v>2000</v>
      </c>
      <c r="AT137" s="8">
        <v>297634.34521060006</v>
      </c>
      <c r="AU137" s="8">
        <v>35701</v>
      </c>
      <c r="AV137" s="8">
        <v>22000</v>
      </c>
      <c r="AW137" s="8">
        <v>1</v>
      </c>
      <c r="AX137" s="11">
        <v>25687</v>
      </c>
      <c r="AY137" s="8">
        <f t="shared" si="92"/>
        <v>25687.000000000007</v>
      </c>
      <c r="BB137">
        <v>2000</v>
      </c>
      <c r="BC137" s="8">
        <v>297634.34521060006</v>
      </c>
      <c r="BD137" s="8">
        <v>35701</v>
      </c>
      <c r="BE137" s="8">
        <v>22000</v>
      </c>
      <c r="BF137" s="20">
        <f t="shared" si="93"/>
        <v>222.40089114</v>
      </c>
      <c r="BG137" s="11">
        <v>25687</v>
      </c>
      <c r="BH137" s="8">
        <f t="shared" si="94"/>
        <v>18893.665934893652</v>
      </c>
      <c r="BK137">
        <v>2000</v>
      </c>
      <c r="BL137" s="8">
        <v>297634.34521060006</v>
      </c>
      <c r="BM137" s="8">
        <v>35701</v>
      </c>
      <c r="BN137" s="11">
        <f t="shared" si="95"/>
        <v>222.40089114</v>
      </c>
      <c r="BO137" s="11">
        <v>25687</v>
      </c>
      <c r="BP137" s="8">
        <f t="shared" si="96"/>
        <v>19254.929381980703</v>
      </c>
    </row>
    <row r="138" spans="37:87" x14ac:dyDescent="0.25">
      <c r="AK138" s="10">
        <v>2001</v>
      </c>
      <c r="AL138" s="8">
        <f t="shared" si="89"/>
        <v>0</v>
      </c>
      <c r="AM138" s="8">
        <f t="shared" si="90"/>
        <v>76645</v>
      </c>
      <c r="AN138" s="8">
        <f t="shared" si="90"/>
        <v>25687</v>
      </c>
      <c r="AO138" s="11">
        <f t="shared" si="90"/>
        <v>10000</v>
      </c>
      <c r="AP138" s="8">
        <f t="shared" si="91"/>
        <v>8397.8241115494675</v>
      </c>
      <c r="AS138">
        <v>2001</v>
      </c>
      <c r="AT138" s="8">
        <v>0</v>
      </c>
      <c r="AU138" s="8">
        <v>76645</v>
      </c>
      <c r="AV138" s="8">
        <v>25687</v>
      </c>
      <c r="AW138" s="8">
        <v>0</v>
      </c>
      <c r="AX138" s="11">
        <v>10000</v>
      </c>
      <c r="AY138" s="8">
        <f t="shared" si="92"/>
        <v>7894.0766817320873</v>
      </c>
      <c r="BB138">
        <v>2001</v>
      </c>
      <c r="BC138" s="8">
        <v>0</v>
      </c>
      <c r="BD138" s="8">
        <v>76645</v>
      </c>
      <c r="BE138" s="8">
        <v>25687</v>
      </c>
      <c r="BF138" s="20">
        <f t="shared" si="93"/>
        <v>84.120044590000006</v>
      </c>
      <c r="BG138" s="11">
        <v>10000</v>
      </c>
      <c r="BH138" s="8">
        <f t="shared" si="94"/>
        <v>8115.0617758478365</v>
      </c>
      <c r="BK138">
        <v>2001</v>
      </c>
      <c r="BL138" s="8">
        <v>0</v>
      </c>
      <c r="BM138" s="8">
        <v>76645</v>
      </c>
      <c r="BN138" s="11">
        <f t="shared" si="95"/>
        <v>84.120044590000006</v>
      </c>
      <c r="BO138" s="11">
        <v>10000</v>
      </c>
      <c r="BP138" s="8">
        <f t="shared" si="96"/>
        <v>5989.5546154936674</v>
      </c>
    </row>
    <row r="139" spans="37:87" x14ac:dyDescent="0.25">
      <c r="AK139" s="6">
        <v>2002</v>
      </c>
      <c r="AL139" s="8">
        <f t="shared" si="89"/>
        <v>0</v>
      </c>
      <c r="AM139" s="8">
        <f t="shared" si="90"/>
        <v>0</v>
      </c>
      <c r="AN139" s="8">
        <f t="shared" si="90"/>
        <v>10000</v>
      </c>
      <c r="AO139" s="11">
        <f t="shared" si="90"/>
        <v>0</v>
      </c>
      <c r="AP139" s="8">
        <f t="shared" si="91"/>
        <v>1705.6005783990042</v>
      </c>
      <c r="AS139">
        <v>2002</v>
      </c>
      <c r="AT139" s="8">
        <v>0</v>
      </c>
      <c r="AU139" s="8">
        <v>0</v>
      </c>
      <c r="AV139" s="8">
        <v>10000</v>
      </c>
      <c r="AW139" s="8">
        <v>0</v>
      </c>
      <c r="AX139" s="11">
        <v>0</v>
      </c>
      <c r="AY139" s="8">
        <f t="shared" si="92"/>
        <v>1369.3425777582913</v>
      </c>
      <c r="BB139" s="6">
        <v>2002</v>
      </c>
      <c r="BC139" s="8">
        <v>0</v>
      </c>
      <c r="BD139" s="8">
        <v>0</v>
      </c>
      <c r="BE139" s="8">
        <v>10000</v>
      </c>
      <c r="BF139" s="20">
        <f t="shared" si="93"/>
        <v>28.779510025</v>
      </c>
      <c r="BG139" s="11">
        <v>0</v>
      </c>
      <c r="BH139" s="8">
        <f t="shared" si="94"/>
        <v>1710.0946069854517</v>
      </c>
      <c r="BK139" s="6">
        <v>2002</v>
      </c>
      <c r="BL139" s="8">
        <v>0</v>
      </c>
      <c r="BM139" s="8">
        <v>0</v>
      </c>
      <c r="BN139" s="11">
        <f t="shared" si="95"/>
        <v>28.779510025</v>
      </c>
      <c r="BO139" s="11">
        <v>0</v>
      </c>
      <c r="BP139" s="8">
        <f t="shared" si="96"/>
        <v>896.28125268787085</v>
      </c>
    </row>
    <row r="140" spans="37:87" x14ac:dyDescent="0.25">
      <c r="AK140" s="6">
        <v>2003</v>
      </c>
      <c r="AL140" s="8">
        <f t="shared" si="89"/>
        <v>0</v>
      </c>
      <c r="AM140" s="8">
        <f t="shared" si="90"/>
        <v>15945</v>
      </c>
      <c r="AN140" s="8">
        <f t="shared" si="90"/>
        <v>0</v>
      </c>
      <c r="AO140" s="11">
        <f t="shared" si="90"/>
        <v>1000</v>
      </c>
      <c r="AP140" s="8">
        <f t="shared" si="91"/>
        <v>835.61159708050423</v>
      </c>
      <c r="AS140">
        <v>2003</v>
      </c>
      <c r="AT140" s="8">
        <v>0</v>
      </c>
      <c r="AU140" s="8">
        <v>15945</v>
      </c>
      <c r="AV140" s="8">
        <v>0</v>
      </c>
      <c r="AW140" s="8">
        <v>0</v>
      </c>
      <c r="AX140" s="11">
        <v>1000</v>
      </c>
      <c r="AY140" s="8">
        <f t="shared" si="92"/>
        <v>910.5046237039129</v>
      </c>
      <c r="BB140" s="6">
        <v>2003</v>
      </c>
      <c r="BC140" s="8">
        <v>0</v>
      </c>
      <c r="BD140" s="8">
        <v>15945</v>
      </c>
      <c r="BE140" s="8">
        <v>0</v>
      </c>
      <c r="BF140" s="20">
        <f t="shared" si="93"/>
        <v>52.983964389999997</v>
      </c>
      <c r="BG140" s="11">
        <v>1000</v>
      </c>
      <c r="BH140" s="8">
        <f t="shared" si="94"/>
        <v>2148.3734200810163</v>
      </c>
      <c r="BK140" s="6">
        <v>2003</v>
      </c>
      <c r="BL140" s="8">
        <v>0</v>
      </c>
      <c r="BM140" s="8">
        <v>15945</v>
      </c>
      <c r="BN140" s="11">
        <f t="shared" si="95"/>
        <v>52.983964389999997</v>
      </c>
      <c r="BO140" s="11">
        <v>1000</v>
      </c>
      <c r="BP140" s="8">
        <f t="shared" si="96"/>
        <v>2351.1249118573428</v>
      </c>
    </row>
    <row r="141" spans="37:87" x14ac:dyDescent="0.25">
      <c r="AK141" s="6">
        <v>2004</v>
      </c>
      <c r="AL141" s="8">
        <f t="shared" si="89"/>
        <v>35017.01310954331</v>
      </c>
      <c r="AM141" s="8">
        <f t="shared" si="90"/>
        <v>208148</v>
      </c>
      <c r="AN141" s="8">
        <f t="shared" si="90"/>
        <v>1000</v>
      </c>
      <c r="AO141" s="11">
        <f t="shared" si="90"/>
        <v>20000</v>
      </c>
      <c r="AP141" s="8">
        <f t="shared" si="91"/>
        <v>12140.785970159472</v>
      </c>
      <c r="AS141">
        <v>2004</v>
      </c>
      <c r="AT141" s="8">
        <v>35017.01310954331</v>
      </c>
      <c r="AU141" s="8">
        <v>208148</v>
      </c>
      <c r="AV141" s="8">
        <v>1000</v>
      </c>
      <c r="AW141" s="8">
        <v>0</v>
      </c>
      <c r="AX141" s="11">
        <v>20000</v>
      </c>
      <c r="AY141" s="8">
        <f t="shared" si="92"/>
        <v>12919.539592654839</v>
      </c>
      <c r="BB141" s="6">
        <v>2004</v>
      </c>
      <c r="BC141" s="8">
        <v>35017.01310954331</v>
      </c>
      <c r="BD141" s="8">
        <v>208148</v>
      </c>
      <c r="BE141" s="8">
        <v>1000</v>
      </c>
      <c r="BF141" s="20">
        <f t="shared" si="93"/>
        <v>79.815144770000003</v>
      </c>
      <c r="BG141" s="11">
        <v>20000</v>
      </c>
      <c r="BH141" s="8">
        <f t="shared" si="94"/>
        <v>12696.141496137472</v>
      </c>
      <c r="BK141" s="6">
        <v>2004</v>
      </c>
      <c r="BL141" s="8">
        <v>35017.01310954331</v>
      </c>
      <c r="BM141" s="8">
        <v>208148</v>
      </c>
      <c r="BN141" s="11">
        <f t="shared" si="95"/>
        <v>79.815144770000003</v>
      </c>
      <c r="BO141" s="11">
        <v>20000</v>
      </c>
      <c r="BP141" s="8">
        <f t="shared" si="96"/>
        <v>12903.008490284925</v>
      </c>
    </row>
    <row r="142" spans="37:87" x14ac:dyDescent="0.25">
      <c r="AK142" s="6">
        <v>2005</v>
      </c>
      <c r="AL142" s="8">
        <f t="shared" si="89"/>
        <v>0</v>
      </c>
      <c r="AM142" s="8">
        <f t="shared" si="90"/>
        <v>11889</v>
      </c>
      <c r="AN142" s="8">
        <f t="shared" si="90"/>
        <v>20000</v>
      </c>
      <c r="AO142" s="11">
        <f t="shared" si="90"/>
        <v>4825</v>
      </c>
      <c r="AP142" s="8">
        <f t="shared" si="91"/>
        <v>4034.2545451761907</v>
      </c>
      <c r="AS142">
        <v>2005</v>
      </c>
      <c r="AT142" s="8">
        <v>0</v>
      </c>
      <c r="AU142" s="8">
        <v>11889</v>
      </c>
      <c r="AV142" s="8">
        <v>20000</v>
      </c>
      <c r="AW142" s="8">
        <v>0</v>
      </c>
      <c r="AX142" s="11">
        <v>4825</v>
      </c>
      <c r="AY142" s="8">
        <f t="shared" si="92"/>
        <v>3417.5807009048435</v>
      </c>
      <c r="BB142" s="6">
        <v>2005</v>
      </c>
      <c r="BC142" s="8">
        <v>0</v>
      </c>
      <c r="BD142" s="8">
        <v>11889</v>
      </c>
      <c r="BE142" s="8">
        <v>20000</v>
      </c>
      <c r="BF142" s="20">
        <f t="shared" si="93"/>
        <v>120.17973271</v>
      </c>
      <c r="BG142" s="11">
        <v>4825</v>
      </c>
      <c r="BH142" s="8">
        <f t="shared" si="94"/>
        <v>5646.4730692268404</v>
      </c>
      <c r="BK142" s="6">
        <v>2005</v>
      </c>
      <c r="BL142" s="8">
        <v>0</v>
      </c>
      <c r="BM142" s="8">
        <v>11889</v>
      </c>
      <c r="BN142" s="11">
        <f t="shared" si="95"/>
        <v>120.17973271</v>
      </c>
      <c r="BO142" s="11">
        <v>4825</v>
      </c>
      <c r="BP142" s="8">
        <f t="shared" si="96"/>
        <v>4265.4774610037648</v>
      </c>
    </row>
    <row r="143" spans="37:87" x14ac:dyDescent="0.25">
      <c r="AK143" s="6">
        <v>2006</v>
      </c>
      <c r="AL143" s="8">
        <f t="shared" si="89"/>
        <v>0</v>
      </c>
      <c r="AM143" s="8">
        <f t="shared" si="90"/>
        <v>24203</v>
      </c>
      <c r="AN143" s="8">
        <f t="shared" si="90"/>
        <v>4825</v>
      </c>
      <c r="AO143" s="11">
        <f t="shared" si="90"/>
        <v>500</v>
      </c>
      <c r="AP143" s="8">
        <f t="shared" si="91"/>
        <v>2091.3315505820319</v>
      </c>
      <c r="AS143">
        <v>2006</v>
      </c>
      <c r="AT143" s="8">
        <v>0</v>
      </c>
      <c r="AU143" s="8">
        <v>24203</v>
      </c>
      <c r="AV143" s="8">
        <v>4825</v>
      </c>
      <c r="AW143" s="8">
        <v>0</v>
      </c>
      <c r="AX143" s="11">
        <v>500</v>
      </c>
      <c r="AY143" s="8">
        <f t="shared" si="92"/>
        <v>2042.7675872776763</v>
      </c>
      <c r="BB143" s="6">
        <v>2006</v>
      </c>
      <c r="BC143" s="8">
        <v>0</v>
      </c>
      <c r="BD143" s="8">
        <v>24203</v>
      </c>
      <c r="BE143" s="8">
        <v>4825</v>
      </c>
      <c r="BF143" s="20">
        <f t="shared" si="93"/>
        <v>32.035857424</v>
      </c>
      <c r="BG143" s="11">
        <v>500</v>
      </c>
      <c r="BH143" s="8">
        <f t="shared" si="94"/>
        <v>2403.891159903611</v>
      </c>
      <c r="BK143" s="6">
        <v>2006</v>
      </c>
      <c r="BL143" s="8">
        <v>0</v>
      </c>
      <c r="BM143" s="8">
        <v>24203</v>
      </c>
      <c r="BN143" s="11">
        <f t="shared" si="95"/>
        <v>32.035857424</v>
      </c>
      <c r="BO143" s="11">
        <v>500</v>
      </c>
      <c r="BP143" s="8">
        <f t="shared" si="96"/>
        <v>2061.811462990664</v>
      </c>
    </row>
    <row r="144" spans="37:87" x14ac:dyDescent="0.25">
      <c r="AK144" s="6">
        <v>2007</v>
      </c>
      <c r="AL144" s="8">
        <f t="shared" si="89"/>
        <v>18853.248329900001</v>
      </c>
      <c r="AM144" s="8">
        <f t="shared" si="90"/>
        <v>0</v>
      </c>
      <c r="AN144" s="8">
        <f t="shared" si="90"/>
        <v>500</v>
      </c>
      <c r="AO144" s="11">
        <f t="shared" si="90"/>
        <v>50</v>
      </c>
      <c r="AP144" s="8">
        <f t="shared" si="91"/>
        <v>657.08983162092545</v>
      </c>
      <c r="AS144">
        <v>2007</v>
      </c>
      <c r="AT144" s="8">
        <v>18853.248329900001</v>
      </c>
      <c r="AU144" s="8">
        <v>0</v>
      </c>
      <c r="AV144" s="8">
        <v>500</v>
      </c>
      <c r="AW144" s="8">
        <v>0</v>
      </c>
      <c r="AX144" s="11">
        <v>50</v>
      </c>
      <c r="AY144" s="8">
        <f t="shared" si="92"/>
        <v>551.2879314379453</v>
      </c>
      <c r="BB144" s="6">
        <v>2007</v>
      </c>
      <c r="BC144" s="8">
        <v>18853.248329900001</v>
      </c>
      <c r="BD144" s="8">
        <v>0</v>
      </c>
      <c r="BE144" s="8">
        <v>500</v>
      </c>
      <c r="BF144" s="20">
        <f t="shared" si="93"/>
        <v>110.43652562</v>
      </c>
      <c r="BG144" s="11">
        <v>50</v>
      </c>
      <c r="BH144" s="8">
        <f t="shared" si="94"/>
        <v>3614.4613454374257</v>
      </c>
      <c r="BK144" s="6">
        <v>2007</v>
      </c>
      <c r="BL144" s="8">
        <v>18853.248329900001</v>
      </c>
      <c r="BM144" s="8">
        <v>0</v>
      </c>
      <c r="BN144" s="11">
        <f t="shared" si="95"/>
        <v>110.43652562</v>
      </c>
      <c r="BO144" s="11">
        <v>50</v>
      </c>
      <c r="BP144" s="8">
        <f t="shared" si="96"/>
        <v>4120.8459163314474</v>
      </c>
    </row>
    <row r="145" spans="37:68" x14ac:dyDescent="0.25">
      <c r="AK145" s="6">
        <v>2008</v>
      </c>
      <c r="AL145" s="8">
        <f t="shared" si="89"/>
        <v>18237.761692924003</v>
      </c>
      <c r="AM145" s="8">
        <f t="shared" si="90"/>
        <v>259723</v>
      </c>
      <c r="AN145" s="8">
        <f t="shared" si="90"/>
        <v>50</v>
      </c>
      <c r="AO145" s="11">
        <f t="shared" si="90"/>
        <v>12210</v>
      </c>
      <c r="AP145" s="8">
        <f t="shared" si="91"/>
        <v>14172.680169741405</v>
      </c>
      <c r="AS145">
        <v>2008</v>
      </c>
      <c r="AT145" s="8">
        <v>18237.761692924003</v>
      </c>
      <c r="AU145" s="8">
        <v>259723</v>
      </c>
      <c r="AV145" s="8">
        <v>50</v>
      </c>
      <c r="AW145" s="8">
        <v>0</v>
      </c>
      <c r="AX145" s="11">
        <v>12210</v>
      </c>
      <c r="AY145" s="8">
        <f t="shared" si="92"/>
        <v>15304.823563656813</v>
      </c>
      <c r="BB145" s="6">
        <v>2008</v>
      </c>
      <c r="BC145" s="8">
        <v>18237.761692924003</v>
      </c>
      <c r="BD145" s="8">
        <v>259723</v>
      </c>
      <c r="BE145" s="8">
        <v>50</v>
      </c>
      <c r="BF145" s="20">
        <f t="shared" si="93"/>
        <v>75.179509909999993</v>
      </c>
      <c r="BG145" s="11">
        <v>12210</v>
      </c>
      <c r="BH145" s="8">
        <f t="shared" si="94"/>
        <v>14281.54671881861</v>
      </c>
      <c r="BK145" s="6">
        <v>2008</v>
      </c>
      <c r="BL145" s="8">
        <v>18237.761692924003</v>
      </c>
      <c r="BM145" s="8">
        <v>259723</v>
      </c>
      <c r="BN145" s="11">
        <f t="shared" si="95"/>
        <v>75.179509909999993</v>
      </c>
      <c r="BO145" s="11">
        <v>12210</v>
      </c>
      <c r="BP145" s="8">
        <f t="shared" si="96"/>
        <v>14419.659979325043</v>
      </c>
    </row>
    <row r="146" spans="37:68" x14ac:dyDescent="0.25">
      <c r="AK146" s="6">
        <v>2009</v>
      </c>
      <c r="AL146" s="8">
        <f t="shared" si="89"/>
        <v>151427.75192139513</v>
      </c>
      <c r="AM146" s="8">
        <f t="shared" si="90"/>
        <v>0</v>
      </c>
      <c r="AN146" s="8">
        <f t="shared" si="90"/>
        <v>12210</v>
      </c>
      <c r="AO146" s="11">
        <f t="shared" si="90"/>
        <v>2000</v>
      </c>
      <c r="AP146" s="8">
        <f t="shared" si="91"/>
        <v>6675.2679745817259</v>
      </c>
      <c r="AS146">
        <v>2009</v>
      </c>
      <c r="AT146" s="8">
        <v>151427.75192139513</v>
      </c>
      <c r="AU146" s="8">
        <v>0</v>
      </c>
      <c r="AV146" s="8">
        <v>12210</v>
      </c>
      <c r="AW146" s="8">
        <v>0</v>
      </c>
      <c r="AX146" s="11">
        <v>2000</v>
      </c>
      <c r="AY146" s="8">
        <f t="shared" si="92"/>
        <v>5549.9445692189493</v>
      </c>
      <c r="BB146" s="6">
        <v>2009</v>
      </c>
      <c r="BC146" s="8">
        <v>151427.75192139513</v>
      </c>
      <c r="BD146" s="8">
        <v>0</v>
      </c>
      <c r="BE146" s="8">
        <v>12210</v>
      </c>
      <c r="BF146" s="20">
        <f t="shared" si="93"/>
        <v>33.746547900000003</v>
      </c>
      <c r="BG146" s="11">
        <v>2000</v>
      </c>
      <c r="BH146" s="8">
        <f t="shared" si="94"/>
        <v>6745.5425773896241</v>
      </c>
      <c r="BK146" s="6">
        <v>2009</v>
      </c>
      <c r="BL146" s="8">
        <v>151427.75192139513</v>
      </c>
      <c r="BM146" s="8">
        <v>0</v>
      </c>
      <c r="BN146" s="11">
        <f t="shared" si="95"/>
        <v>33.746547900000003</v>
      </c>
      <c r="BO146" s="11">
        <v>2000</v>
      </c>
      <c r="BP146" s="8">
        <f t="shared" si="96"/>
        <v>6524.8625726457831</v>
      </c>
    </row>
    <row r="147" spans="37:68" x14ac:dyDescent="0.25">
      <c r="AK147" s="6">
        <v>2010</v>
      </c>
      <c r="AL147" s="8">
        <f t="shared" si="89"/>
        <v>127444.55815459513</v>
      </c>
      <c r="AM147" s="8">
        <f t="shared" si="90"/>
        <v>481543</v>
      </c>
      <c r="AN147" s="8">
        <f t="shared" si="90"/>
        <v>2000</v>
      </c>
      <c r="AO147" s="11">
        <f t="shared" si="90"/>
        <v>31000</v>
      </c>
      <c r="AP147" s="8">
        <f t="shared" si="91"/>
        <v>29442.13110006327</v>
      </c>
      <c r="AS147">
        <v>2010</v>
      </c>
      <c r="AT147" s="8">
        <v>127444.55815459513</v>
      </c>
      <c r="AU147" s="8">
        <v>481543</v>
      </c>
      <c r="AV147" s="8">
        <v>2000</v>
      </c>
      <c r="AW147" s="8">
        <v>0</v>
      </c>
      <c r="AX147" s="11">
        <v>31000</v>
      </c>
      <c r="AY147" s="8">
        <f t="shared" si="92"/>
        <v>31035.118101704495</v>
      </c>
      <c r="BB147" s="6">
        <v>2010</v>
      </c>
      <c r="BC147" s="8">
        <v>127444.55815459513</v>
      </c>
      <c r="BD147" s="8">
        <v>481543</v>
      </c>
      <c r="BE147" s="8">
        <v>2000</v>
      </c>
      <c r="BF147" s="20">
        <f t="shared" si="93"/>
        <v>175.08864127999999</v>
      </c>
      <c r="BG147" s="11">
        <v>31000</v>
      </c>
      <c r="BH147" s="8">
        <f t="shared" si="94"/>
        <v>30524.291094916225</v>
      </c>
      <c r="BK147" s="6">
        <v>2010</v>
      </c>
      <c r="BL147" s="8">
        <v>127444.55815459513</v>
      </c>
      <c r="BM147" s="8">
        <v>481543</v>
      </c>
      <c r="BN147" s="11">
        <f t="shared" si="95"/>
        <v>175.08864127999999</v>
      </c>
      <c r="BO147" s="11">
        <v>31000</v>
      </c>
      <c r="BP147" s="8">
        <f t="shared" si="96"/>
        <v>31231.416786741116</v>
      </c>
    </row>
    <row r="148" spans="37:68" x14ac:dyDescent="0.25">
      <c r="AK148" s="6">
        <v>2011</v>
      </c>
      <c r="AL148" s="8">
        <f t="shared" si="89"/>
        <v>505146.10825669509</v>
      </c>
      <c r="AM148" s="8">
        <f t="shared" si="90"/>
        <v>278438</v>
      </c>
      <c r="AN148" s="8">
        <f t="shared" si="90"/>
        <v>31000</v>
      </c>
      <c r="AO148" s="11">
        <f t="shared" si="90"/>
        <v>30000</v>
      </c>
      <c r="AP148" s="8">
        <f t="shared" si="91"/>
        <v>35199.981872368284</v>
      </c>
      <c r="AS148">
        <v>2011</v>
      </c>
      <c r="AT148" s="8">
        <v>505146.10825669509</v>
      </c>
      <c r="AU148" s="8">
        <v>278438</v>
      </c>
      <c r="AV148" s="8">
        <v>31000</v>
      </c>
      <c r="AW148" s="8">
        <v>0</v>
      </c>
      <c r="AX148" s="11">
        <v>30000</v>
      </c>
      <c r="AY148" s="8">
        <f t="shared" si="92"/>
        <v>33081.059885216258</v>
      </c>
      <c r="BB148" s="6">
        <v>2011</v>
      </c>
      <c r="BC148" s="8">
        <v>505146.10825669509</v>
      </c>
      <c r="BD148" s="8">
        <v>278438</v>
      </c>
      <c r="BE148" s="8">
        <v>31000</v>
      </c>
      <c r="BF148" s="20">
        <f t="shared" si="93"/>
        <v>190.22494429</v>
      </c>
      <c r="BG148" s="11">
        <v>30000</v>
      </c>
      <c r="BH148" s="8">
        <f t="shared" si="94"/>
        <v>36214.605664445189</v>
      </c>
      <c r="BK148" s="6">
        <v>2011</v>
      </c>
      <c r="BL148" s="8">
        <v>505146.10825669509</v>
      </c>
      <c r="BM148" s="8">
        <v>278438</v>
      </c>
      <c r="BN148" s="11">
        <f t="shared" si="95"/>
        <v>190.22494429</v>
      </c>
      <c r="BO148" s="11">
        <v>30000</v>
      </c>
      <c r="BP148" s="8">
        <f t="shared" si="96"/>
        <v>36426.381740546589</v>
      </c>
    </row>
    <row r="149" spans="37:68" x14ac:dyDescent="0.25">
      <c r="AK149" s="6">
        <v>2012</v>
      </c>
      <c r="AL149" s="8">
        <f t="shared" si="89"/>
        <v>551414.15515269502</v>
      </c>
      <c r="AM149" s="8">
        <f t="shared" si="90"/>
        <v>144887</v>
      </c>
      <c r="AN149" s="8">
        <f t="shared" si="90"/>
        <v>30000</v>
      </c>
      <c r="AO149" s="11">
        <f t="shared" si="90"/>
        <v>30965</v>
      </c>
      <c r="AP149" s="8">
        <f t="shared" si="91"/>
        <v>29433.852708250768</v>
      </c>
      <c r="AS149">
        <v>2012</v>
      </c>
      <c r="AT149" s="8">
        <v>551414.15515269502</v>
      </c>
      <c r="AU149" s="8">
        <v>144887</v>
      </c>
      <c r="AV149" s="8">
        <v>30000</v>
      </c>
      <c r="AW149" s="8">
        <v>0</v>
      </c>
      <c r="AX149" s="11">
        <v>30965</v>
      </c>
      <c r="AY149" s="8">
        <f t="shared" si="92"/>
        <v>26502.883546135607</v>
      </c>
      <c r="BB149" s="6">
        <v>2012</v>
      </c>
      <c r="BC149" s="8">
        <v>551414.15515269502</v>
      </c>
      <c r="BD149" s="8">
        <v>144887</v>
      </c>
      <c r="BE149" s="8">
        <v>30000</v>
      </c>
      <c r="BF149" s="20">
        <f t="shared" si="93"/>
        <v>24.761915401</v>
      </c>
      <c r="BG149" s="11">
        <v>30965</v>
      </c>
      <c r="BH149" s="8">
        <f t="shared" si="94"/>
        <v>27079.998450848329</v>
      </c>
      <c r="BK149" s="6">
        <v>2012</v>
      </c>
      <c r="BL149" s="8">
        <v>551414.15515269502</v>
      </c>
      <c r="BM149" s="8">
        <v>144887</v>
      </c>
      <c r="BN149" s="11">
        <f t="shared" si="95"/>
        <v>24.761915401</v>
      </c>
      <c r="BO149" s="11">
        <v>30965</v>
      </c>
      <c r="BP149" s="8">
        <f t="shared" si="96"/>
        <v>27074.132969873364</v>
      </c>
    </row>
    <row r="150" spans="37:68" x14ac:dyDescent="0.25">
      <c r="AK150" s="6">
        <v>2013</v>
      </c>
      <c r="AL150" s="8">
        <f t="shared" si="89"/>
        <v>339757.68597495853</v>
      </c>
      <c r="AM150" s="8">
        <f t="shared" si="90"/>
        <v>313977</v>
      </c>
      <c r="AN150" s="8">
        <f t="shared" si="90"/>
        <v>30965</v>
      </c>
      <c r="AO150" s="11">
        <f t="shared" si="90"/>
        <v>28300</v>
      </c>
      <c r="AP150" s="8">
        <f t="shared" si="91"/>
        <v>32040.314510431839</v>
      </c>
      <c r="AS150">
        <v>2013</v>
      </c>
      <c r="AT150" s="8">
        <v>339757.68597495853</v>
      </c>
      <c r="AU150" s="8">
        <v>313977</v>
      </c>
      <c r="AV150" s="8">
        <v>30965</v>
      </c>
      <c r="AW150" s="8">
        <v>0</v>
      </c>
      <c r="AX150" s="11">
        <v>28300</v>
      </c>
      <c r="AY150" s="8">
        <f t="shared" si="92"/>
        <v>30870.142672283077</v>
      </c>
      <c r="BB150" s="6">
        <v>2013</v>
      </c>
      <c r="BC150" s="8">
        <v>339757.68597495853</v>
      </c>
      <c r="BD150" s="8">
        <v>313977</v>
      </c>
      <c r="BE150" s="8">
        <v>30965</v>
      </c>
      <c r="BF150" s="20">
        <f t="shared" si="93"/>
        <v>30.610690465999998</v>
      </c>
      <c r="BG150" s="11">
        <v>28300</v>
      </c>
      <c r="BH150" s="8">
        <f t="shared" si="94"/>
        <v>28369.900349119445</v>
      </c>
      <c r="BK150" s="6">
        <v>2013</v>
      </c>
      <c r="BL150" s="8">
        <v>339757.68597495853</v>
      </c>
      <c r="BM150" s="8">
        <v>313977</v>
      </c>
      <c r="BN150" s="11">
        <f t="shared" si="95"/>
        <v>30.610690465999998</v>
      </c>
      <c r="BO150" s="11">
        <v>28300</v>
      </c>
      <c r="BP150" s="8">
        <f t="shared" si="96"/>
        <v>27039.479315914821</v>
      </c>
    </row>
    <row r="151" spans="37:68" x14ac:dyDescent="0.25">
      <c r="AL151" t="s">
        <v>101</v>
      </c>
    </row>
    <row r="152" spans="37:68" x14ac:dyDescent="0.25">
      <c r="AL152" s="24" t="s">
        <v>76</v>
      </c>
      <c r="AM152" s="24" t="s">
        <v>67</v>
      </c>
      <c r="AN152" s="24" t="s">
        <v>72</v>
      </c>
      <c r="AT152" s="23" t="s">
        <v>576</v>
      </c>
      <c r="AU152" s="23" t="s">
        <v>75</v>
      </c>
      <c r="AV152" s="23" t="s">
        <v>67</v>
      </c>
      <c r="AW152" s="23" t="s">
        <v>72</v>
      </c>
    </row>
    <row r="153" spans="37:68" x14ac:dyDescent="0.25">
      <c r="AL153" s="24">
        <f t="array" ref="AL153:AO157">LINEST(AO136:AO150,AL136:AN150,0,1)</f>
        <v>0.17056005783990041</v>
      </c>
      <c r="AM153" s="24">
        <v>5.2405869995641535E-2</v>
      </c>
      <c r="AN153" s="24">
        <v>3.0329511004961555E-2</v>
      </c>
      <c r="AO153">
        <v>0</v>
      </c>
      <c r="AT153" s="23">
        <f t="array" ref="AT153:AW157">LINEST(AX136:AX150,AT136:AW150,0,1)</f>
        <v>13013.574490505953</v>
      </c>
      <c r="AU153" s="23">
        <v>0.13693425777582913</v>
      </c>
      <c r="AV153" s="23">
        <v>5.7102829959480267E-2</v>
      </c>
      <c r="AW153" s="23">
        <v>2.5609422530350322E-2</v>
      </c>
      <c r="BC153">
        <f t="array" ref="BC153:BF157">LINEST(BG136:BG150,BC136:BF150,0,1)</f>
        <v>27.013403187457349</v>
      </c>
      <c r="BD153">
        <v>9.326620991426561E-2</v>
      </c>
      <c r="BE153">
        <v>4.4973109284670035E-2</v>
      </c>
      <c r="BF153">
        <v>3.1005895485829525E-2</v>
      </c>
      <c r="BL153">
        <f t="array" ref="BL153:BO157">LINEST(BO136:BO150,BL136:BN150,0,1)</f>
        <v>31.143033773309376</v>
      </c>
      <c r="BM153">
        <v>4.3966354306412762E-2</v>
      </c>
      <c r="BN153">
        <v>3.6148543593943941E-2</v>
      </c>
      <c r="BO153">
        <v>0</v>
      </c>
    </row>
    <row r="154" spans="37:68" x14ac:dyDescent="0.25">
      <c r="AL154">
        <v>0.12695563485461564</v>
      </c>
      <c r="AM154">
        <v>8.051317438638966E-3</v>
      </c>
      <c r="AN154">
        <v>1.0219599329518879E-2</v>
      </c>
      <c r="AO154" t="e">
        <v>#N/A</v>
      </c>
      <c r="AT154">
        <v>3594.2620688929219</v>
      </c>
      <c r="AU154">
        <v>9.0047998682576666E-2</v>
      </c>
      <c r="AV154">
        <v>5.8264960585834389E-3</v>
      </c>
      <c r="AW154">
        <v>7.3268861992840913E-3</v>
      </c>
      <c r="AY154" t="s">
        <v>545</v>
      </c>
      <c r="BC154">
        <v>15.659665726040311</v>
      </c>
      <c r="BD154">
        <v>0.12588438529017107</v>
      </c>
      <c r="BE154">
        <v>8.6154030928273524E-3</v>
      </c>
      <c r="BF154">
        <v>9.4778361120215725E-3</v>
      </c>
      <c r="BL154">
        <v>14.356412616693524</v>
      </c>
      <c r="BM154">
        <v>8.3461339601500536E-3</v>
      </c>
      <c r="BN154">
        <v>6.3311576597803653E-3</v>
      </c>
      <c r="BO154" t="e">
        <v>#N/A</v>
      </c>
    </row>
    <row r="155" spans="37:68" x14ac:dyDescent="0.25">
      <c r="AL155">
        <v>0.95146337395668268</v>
      </c>
      <c r="AM155">
        <v>4691.6957233387948</v>
      </c>
      <c r="AN155" t="e">
        <v>#N/A</v>
      </c>
      <c r="AO155" t="e">
        <v>#N/A</v>
      </c>
      <c r="AT155">
        <v>0.97785473870751816</v>
      </c>
      <c r="AU155">
        <v>3310.0132446090051</v>
      </c>
      <c r="AV155" t="e">
        <v>#N/A</v>
      </c>
      <c r="AW155" t="e">
        <v>#N/A</v>
      </c>
      <c r="AY155">
        <f>1-(((1-AT155)*(14))/(10))</f>
        <v>0.9689966341905254</v>
      </c>
      <c r="BC155">
        <v>0.96179785532409745</v>
      </c>
      <c r="BD155">
        <v>4347.4360225948485</v>
      </c>
      <c r="BE155" t="e">
        <v>#N/A</v>
      </c>
      <c r="BF155" t="e">
        <v>#N/A</v>
      </c>
      <c r="BL155">
        <v>0.95989151695124952</v>
      </c>
      <c r="BM155">
        <v>4264.9423492981532</v>
      </c>
      <c r="BN155" t="e">
        <v>#N/A</v>
      </c>
      <c r="BO155" t="e">
        <v>#N/A</v>
      </c>
    </row>
    <row r="156" spans="37:68" x14ac:dyDescent="0.25">
      <c r="AL156">
        <v>78.41199123379792</v>
      </c>
      <c r="AM156">
        <v>12</v>
      </c>
      <c r="AN156" t="e">
        <v>#N/A</v>
      </c>
      <c r="AO156" t="e">
        <v>#N/A</v>
      </c>
      <c r="AT156">
        <v>121.43006559866636</v>
      </c>
      <c r="AU156">
        <v>11</v>
      </c>
      <c r="AV156" t="e">
        <v>#N/A</v>
      </c>
      <c r="AW156" t="e">
        <v>#N/A</v>
      </c>
      <c r="AY156">
        <v>3.59</v>
      </c>
      <c r="AZ156" t="s">
        <v>602</v>
      </c>
      <c r="BC156">
        <v>69.235487289530809</v>
      </c>
      <c r="BD156">
        <v>11</v>
      </c>
      <c r="BE156" t="e">
        <v>#N/A</v>
      </c>
      <c r="BF156" t="e">
        <v>#N/A</v>
      </c>
      <c r="BL156">
        <v>95.729525924431968</v>
      </c>
      <c r="BM156">
        <v>12</v>
      </c>
      <c r="BN156" t="e">
        <v>#N/A</v>
      </c>
      <c r="BO156" t="e">
        <v>#N/A</v>
      </c>
    </row>
    <row r="157" spans="37:68" x14ac:dyDescent="0.25">
      <c r="AL157">
        <v>5178016313.8752537</v>
      </c>
      <c r="AM157">
        <v>264144105.12474647</v>
      </c>
      <c r="AN157" t="e">
        <v>#N/A</v>
      </c>
      <c r="AO157" t="e">
        <v>#N/A</v>
      </c>
      <c r="AT157">
        <v>5321642354.5256424</v>
      </c>
      <c r="AU157">
        <v>120518064.47435735</v>
      </c>
      <c r="AV157" t="e">
        <v>#N/A</v>
      </c>
      <c r="AW157" t="e">
        <v>#N/A</v>
      </c>
      <c r="BC157">
        <v>5234258219.3238916</v>
      </c>
      <c r="BD157">
        <v>207902199.67610845</v>
      </c>
      <c r="BE157" t="e">
        <v>#N/A</v>
      </c>
      <c r="BF157" t="e">
        <v>#N/A</v>
      </c>
      <c r="BL157">
        <v>5223883620.0859575</v>
      </c>
      <c r="BM157">
        <v>218276798.9140422</v>
      </c>
      <c r="BN157" t="e">
        <v>#N/A</v>
      </c>
      <c r="BO157" t="e">
        <v>#N/A</v>
      </c>
    </row>
    <row r="159" spans="37:68" x14ac:dyDescent="0.25">
      <c r="AM159" t="s">
        <v>175</v>
      </c>
      <c r="AN159" t="s">
        <v>74</v>
      </c>
      <c r="AT159" s="15">
        <f>AT153/AT154</f>
        <v>3.6206526516621804</v>
      </c>
      <c r="AU159" s="15">
        <f>AU153/AU154</f>
        <v>1.520680745593566</v>
      </c>
      <c r="AV159" s="15">
        <f>AV153/AV154</f>
        <v>9.8005438234799627</v>
      </c>
      <c r="AW159" s="15">
        <f>AW153/AW154</f>
        <v>3.495266861501495</v>
      </c>
    </row>
    <row r="160" spans="37:68" x14ac:dyDescent="0.25">
      <c r="AL160" s="6">
        <v>1999</v>
      </c>
      <c r="AM160" s="11">
        <f t="shared" ref="AM160:AM174" si="97">AO136</f>
        <v>22000</v>
      </c>
      <c r="AN160" s="11">
        <f t="shared" ref="AN160:AN174" si="98">AP136</f>
        <v>21829.742064747476</v>
      </c>
      <c r="AT160" s="76">
        <v>0.995</v>
      </c>
      <c r="AU160" s="75">
        <v>0.9</v>
      </c>
      <c r="AV160" s="76">
        <v>0.995</v>
      </c>
      <c r="AW160" s="76">
        <v>0.995</v>
      </c>
    </row>
    <row r="161" spans="38:40" x14ac:dyDescent="0.25">
      <c r="AL161" s="6">
        <v>2000</v>
      </c>
      <c r="AM161" s="11">
        <f t="shared" si="97"/>
        <v>25687</v>
      </c>
      <c r="AN161" s="11">
        <f t="shared" si="98"/>
        <v>14650.36738571163</v>
      </c>
    </row>
    <row r="162" spans="38:40" x14ac:dyDescent="0.25">
      <c r="AL162" s="6">
        <v>2001</v>
      </c>
      <c r="AM162" s="11">
        <f t="shared" si="97"/>
        <v>10000</v>
      </c>
      <c r="AN162" s="11">
        <f t="shared" si="98"/>
        <v>8397.8241115494675</v>
      </c>
    </row>
    <row r="163" spans="38:40" x14ac:dyDescent="0.25">
      <c r="AL163" s="6">
        <v>2002</v>
      </c>
      <c r="AM163" s="11">
        <f t="shared" si="97"/>
        <v>0</v>
      </c>
      <c r="AN163" s="11">
        <f t="shared" si="98"/>
        <v>1705.6005783990042</v>
      </c>
    </row>
    <row r="164" spans="38:40" x14ac:dyDescent="0.25">
      <c r="AL164" s="6">
        <v>2003</v>
      </c>
      <c r="AM164" s="11">
        <f t="shared" si="97"/>
        <v>1000</v>
      </c>
      <c r="AN164" s="11">
        <f t="shared" si="98"/>
        <v>835.61159708050423</v>
      </c>
    </row>
    <row r="165" spans="38:40" x14ac:dyDescent="0.25">
      <c r="AL165" s="6">
        <v>2004</v>
      </c>
      <c r="AM165" s="11">
        <f t="shared" si="97"/>
        <v>20000</v>
      </c>
      <c r="AN165" s="11">
        <f t="shared" si="98"/>
        <v>12140.785970159472</v>
      </c>
    </row>
    <row r="166" spans="38:40" x14ac:dyDescent="0.25">
      <c r="AL166" s="6">
        <v>2005</v>
      </c>
      <c r="AM166" s="11">
        <f t="shared" si="97"/>
        <v>4825</v>
      </c>
      <c r="AN166" s="11">
        <f t="shared" si="98"/>
        <v>4034.2545451761907</v>
      </c>
    </row>
    <row r="167" spans="38:40" x14ac:dyDescent="0.25">
      <c r="AL167" s="6">
        <v>2006</v>
      </c>
      <c r="AM167" s="11">
        <f t="shared" si="97"/>
        <v>500</v>
      </c>
      <c r="AN167" s="11">
        <f t="shared" si="98"/>
        <v>2091.3315505820319</v>
      </c>
    </row>
    <row r="168" spans="38:40" x14ac:dyDescent="0.25">
      <c r="AL168" s="6">
        <v>2007</v>
      </c>
      <c r="AM168" s="11">
        <f t="shared" si="97"/>
        <v>50</v>
      </c>
      <c r="AN168" s="11">
        <f t="shared" si="98"/>
        <v>657.08983162092545</v>
      </c>
    </row>
    <row r="169" spans="38:40" x14ac:dyDescent="0.25">
      <c r="AL169" s="6">
        <v>2008</v>
      </c>
      <c r="AM169" s="11">
        <f t="shared" si="97"/>
        <v>12210</v>
      </c>
      <c r="AN169" s="11">
        <f t="shared" si="98"/>
        <v>14172.680169741405</v>
      </c>
    </row>
    <row r="170" spans="38:40" x14ac:dyDescent="0.25">
      <c r="AL170" s="6">
        <v>2009</v>
      </c>
      <c r="AM170" s="11">
        <f t="shared" si="97"/>
        <v>2000</v>
      </c>
      <c r="AN170" s="11">
        <f t="shared" si="98"/>
        <v>6675.2679745817259</v>
      </c>
    </row>
    <row r="171" spans="38:40" x14ac:dyDescent="0.25">
      <c r="AL171" s="6">
        <v>2010</v>
      </c>
      <c r="AM171" s="11">
        <f t="shared" si="97"/>
        <v>31000</v>
      </c>
      <c r="AN171" s="11">
        <f t="shared" si="98"/>
        <v>29442.13110006327</v>
      </c>
    </row>
    <row r="172" spans="38:40" x14ac:dyDescent="0.25">
      <c r="AL172" s="6">
        <v>2011</v>
      </c>
      <c r="AM172" s="11">
        <f t="shared" si="97"/>
        <v>30000</v>
      </c>
      <c r="AN172" s="11">
        <f t="shared" si="98"/>
        <v>35199.981872368284</v>
      </c>
    </row>
    <row r="173" spans="38:40" x14ac:dyDescent="0.25">
      <c r="AL173" s="6">
        <v>2012</v>
      </c>
      <c r="AM173" s="11">
        <f t="shared" si="97"/>
        <v>30965</v>
      </c>
      <c r="AN173" s="11">
        <f t="shared" si="98"/>
        <v>29433.852708250768</v>
      </c>
    </row>
    <row r="174" spans="38:40" x14ac:dyDescent="0.25">
      <c r="AL174" s="6">
        <v>2013</v>
      </c>
      <c r="AM174" s="11">
        <f t="shared" si="97"/>
        <v>28300</v>
      </c>
      <c r="AN174" s="11">
        <f t="shared" si="98"/>
        <v>32040.314510431839</v>
      </c>
    </row>
    <row r="175" spans="38:40" x14ac:dyDescent="0.25">
      <c r="AM175" s="11"/>
      <c r="AN175" s="1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01"/>
  <sheetViews>
    <sheetView topLeftCell="DO2" workbookViewId="0">
      <selection activeCell="DV20" sqref="DV20"/>
    </sheetView>
  </sheetViews>
  <sheetFormatPr defaultRowHeight="15" x14ac:dyDescent="0.25"/>
  <cols>
    <col min="35" max="36" width="12" bestFit="1" customWidth="1"/>
    <col min="37" max="37" width="11" bestFit="1" customWidth="1"/>
    <col min="56" max="56" width="12" bestFit="1" customWidth="1"/>
    <col min="57" max="57" width="11" bestFit="1" customWidth="1"/>
    <col min="59" max="60" width="12" bestFit="1" customWidth="1"/>
    <col min="61" max="61" width="9.28515625" bestFit="1" customWidth="1"/>
    <col min="74" max="75" width="12" bestFit="1" customWidth="1"/>
    <col min="76" max="77" width="9.28515625" bestFit="1" customWidth="1"/>
    <col min="78" max="79" width="12" bestFit="1" customWidth="1"/>
    <col min="80" max="81" width="9.28515625" bestFit="1" customWidth="1"/>
    <col min="84" max="85" width="12" bestFit="1" customWidth="1"/>
    <col min="86" max="88" width="9.28515625" bestFit="1" customWidth="1"/>
    <col min="93" max="94" width="12" bestFit="1" customWidth="1"/>
    <col min="95" max="96" width="9.28515625" bestFit="1" customWidth="1"/>
    <col min="99" max="99" width="12" bestFit="1" customWidth="1"/>
    <col min="100" max="100" width="11" bestFit="1" customWidth="1"/>
    <col min="101" max="103" width="9.28515625" bestFit="1" customWidth="1"/>
    <col min="105" max="105" width="12" bestFit="1" customWidth="1"/>
    <col min="106" max="106" width="11" bestFit="1" customWidth="1"/>
    <col min="107" max="108" width="9.28515625" bestFit="1" customWidth="1"/>
    <col min="128" max="128" width="12" bestFit="1" customWidth="1"/>
    <col min="129" max="129" width="11" bestFit="1" customWidth="1"/>
    <col min="130" max="132" width="9.28515625" bestFit="1" customWidth="1"/>
    <col min="134" max="134" width="12" bestFit="1" customWidth="1"/>
    <col min="135" max="135" width="11" bestFit="1" customWidth="1"/>
    <col min="136" max="137" width="9.28515625" bestFit="1" customWidth="1"/>
    <col min="139" max="139" width="12" bestFit="1" customWidth="1"/>
    <col min="140" max="140" width="11" bestFit="1" customWidth="1"/>
    <col min="141" max="141" width="9.28515625" bestFit="1" customWidth="1"/>
    <col min="143" max="143" width="12" bestFit="1" customWidth="1"/>
    <col min="144" max="144" width="11" bestFit="1" customWidth="1"/>
  </cols>
  <sheetData>
    <row r="1" spans="1:139" x14ac:dyDescent="0.25">
      <c r="A1" s="23" t="s">
        <v>563</v>
      </c>
      <c r="S1" t="s">
        <v>429</v>
      </c>
      <c r="V1" t="s">
        <v>430</v>
      </c>
      <c r="Y1" t="s">
        <v>0</v>
      </c>
      <c r="AH1" t="s">
        <v>43</v>
      </c>
      <c r="AI1" t="s">
        <v>452</v>
      </c>
      <c r="AJ1" t="s">
        <v>449</v>
      </c>
      <c r="AK1" t="s">
        <v>450</v>
      </c>
      <c r="AL1" t="s">
        <v>451</v>
      </c>
      <c r="AM1" t="str">
        <f>AH1</f>
        <v>Plant in</v>
      </c>
      <c r="AN1" t="s">
        <v>307</v>
      </c>
      <c r="AP1" t="s">
        <v>455</v>
      </c>
      <c r="AX1" t="s">
        <v>457</v>
      </c>
      <c r="AY1">
        <v>9</v>
      </c>
      <c r="BC1" t="s">
        <v>43</v>
      </c>
      <c r="BD1" t="str">
        <f>AI1</f>
        <v>NSW GS+Qld MS</v>
      </c>
      <c r="BE1" t="s">
        <v>458</v>
      </c>
      <c r="BF1" t="s">
        <v>386</v>
      </c>
      <c r="BH1" t="s">
        <v>43</v>
      </c>
      <c r="BI1" t="str">
        <f>AN1</f>
        <v>Ha planted</v>
      </c>
      <c r="BJ1" t="s">
        <v>349</v>
      </c>
      <c r="BK1" t="s">
        <v>503</v>
      </c>
      <c r="BU1" t="s">
        <v>43</v>
      </c>
      <c r="BV1" t="s">
        <v>527</v>
      </c>
      <c r="BW1" t="s">
        <v>535</v>
      </c>
      <c r="BX1" t="s">
        <v>536</v>
      </c>
      <c r="BY1" t="s">
        <v>529</v>
      </c>
      <c r="BZ1" t="s">
        <v>539</v>
      </c>
      <c r="CA1" t="s">
        <v>467</v>
      </c>
      <c r="CB1" t="s">
        <v>43</v>
      </c>
      <c r="CC1" t="s">
        <v>307</v>
      </c>
      <c r="CD1" t="s">
        <v>538</v>
      </c>
      <c r="CE1" t="s">
        <v>540</v>
      </c>
      <c r="CN1" t="s">
        <v>43</v>
      </c>
      <c r="CO1" t="s">
        <v>535</v>
      </c>
      <c r="CP1" t="s">
        <v>529</v>
      </c>
      <c r="CQ1" t="s">
        <v>539</v>
      </c>
      <c r="CR1" t="s">
        <v>542</v>
      </c>
      <c r="CS1" t="s">
        <v>543</v>
      </c>
      <c r="CT1" t="s">
        <v>43</v>
      </c>
      <c r="CU1" t="s">
        <v>307</v>
      </c>
      <c r="CV1" t="s">
        <v>541</v>
      </c>
      <c r="CW1" t="s">
        <v>544</v>
      </c>
      <c r="CX1" t="s">
        <v>554</v>
      </c>
      <c r="CY1" t="s">
        <v>555</v>
      </c>
      <c r="DW1" t="s">
        <v>43</v>
      </c>
      <c r="DX1" t="s">
        <v>535</v>
      </c>
      <c r="DY1" t="s">
        <v>527</v>
      </c>
      <c r="DZ1" t="s">
        <v>571</v>
      </c>
      <c r="EA1" t="s">
        <v>597</v>
      </c>
      <c r="EB1" t="s">
        <v>557</v>
      </c>
      <c r="EC1" t="s">
        <v>43</v>
      </c>
      <c r="ED1" t="s">
        <v>288</v>
      </c>
      <c r="EE1" t="s">
        <v>556</v>
      </c>
      <c r="EF1" t="s">
        <v>558</v>
      </c>
      <c r="EG1" t="s">
        <v>559</v>
      </c>
      <c r="EH1" t="s">
        <v>560</v>
      </c>
      <c r="EI1" t="s">
        <v>561</v>
      </c>
    </row>
    <row r="2" spans="1:139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123</v>
      </c>
      <c r="O2" s="2" t="s">
        <v>450</v>
      </c>
      <c r="P2" s="2" t="s">
        <v>451</v>
      </c>
      <c r="Q2" s="2" t="s">
        <v>173</v>
      </c>
      <c r="AH2" s="56">
        <f>AB26</f>
        <v>36465</v>
      </c>
      <c r="AI2" s="8">
        <f>AD26+AC26</f>
        <v>113640.8496101616</v>
      </c>
      <c r="AJ2" s="8">
        <f>AE26</f>
        <v>137430.70957020944</v>
      </c>
      <c r="AK2" s="11">
        <f>O3-$O$21</f>
        <v>45.666386579103801</v>
      </c>
      <c r="AL2" s="11">
        <f>P3-$P$21</f>
        <v>97.439695447942228</v>
      </c>
      <c r="AM2" s="56">
        <v>36465</v>
      </c>
      <c r="AN2" s="8">
        <v>45150</v>
      </c>
      <c r="AP2" t="s">
        <v>43</v>
      </c>
      <c r="AQ2" t="s">
        <v>55</v>
      </c>
      <c r="AR2" t="s">
        <v>56</v>
      </c>
      <c r="AS2" t="s">
        <v>57</v>
      </c>
      <c r="AT2" t="s">
        <v>40</v>
      </c>
      <c r="AU2" t="s">
        <v>59</v>
      </c>
      <c r="AV2" t="s">
        <v>60</v>
      </c>
      <c r="AW2" t="s">
        <v>379</v>
      </c>
      <c r="AX2" t="s">
        <v>378</v>
      </c>
      <c r="AY2" t="s">
        <v>61</v>
      </c>
      <c r="AZ2" t="s">
        <v>527</v>
      </c>
      <c r="BA2" t="s">
        <v>535</v>
      </c>
      <c r="BC2" s="56">
        <v>36465</v>
      </c>
      <c r="BD2" s="8">
        <f t="shared" ref="BD2:BD11" si="0">AI2</f>
        <v>113640.8496101616</v>
      </c>
      <c r="BE2" s="8">
        <f>AY3+AJ2</f>
        <v>237430.70957020944</v>
      </c>
      <c r="BF2">
        <v>0</v>
      </c>
      <c r="BH2" s="56">
        <v>36465</v>
      </c>
      <c r="BI2" s="8">
        <f t="shared" ref="BI2:BI11" si="1">AN2</f>
        <v>45150</v>
      </c>
      <c r="BJ2" s="8">
        <f t="shared" ref="BJ2:BJ11" si="2">($BE$19*BD2)+($BD$19*BE2)</f>
        <v>47086.229324196822</v>
      </c>
      <c r="BK2" s="8">
        <f t="shared" ref="BK2:BK11" si="3">($BI$20*BD2)+($BH$20*BE2)+($BG$20*BF2)</f>
        <v>44994.955089843919</v>
      </c>
      <c r="BU2" s="56">
        <v>36465</v>
      </c>
      <c r="BV2" s="8">
        <f>AZ4</f>
        <v>237430.70957020944</v>
      </c>
      <c r="BW2" s="8">
        <f>BA4</f>
        <v>25007.284206784701</v>
      </c>
      <c r="BX2" s="11">
        <f>O3-$O$21</f>
        <v>45.666386579103801</v>
      </c>
      <c r="BY2" s="11">
        <f>P3-$P$21</f>
        <v>97.439695447942228</v>
      </c>
      <c r="BZ2" s="20">
        <f>LN(BV2)</f>
        <v>12.377631110711697</v>
      </c>
      <c r="CA2">
        <v>0</v>
      </c>
      <c r="CB2" s="56">
        <v>36465</v>
      </c>
      <c r="CC2" s="8">
        <f t="shared" ref="CC2:CC11" si="4">BI2</f>
        <v>45150</v>
      </c>
      <c r="CD2" s="8">
        <f t="shared" ref="CD2:CD11" si="5">($BX$24*BW2)+($BW$24*BX2)+($BV$24*BY2)</f>
        <v>56513.009374826361</v>
      </c>
      <c r="CE2" s="8">
        <f t="shared" ref="CE2:CE11" si="6">($CC$24*BW2)+($CB$24*BX2)+($CA$24*BY2)+($BZ$24*BZ2)</f>
        <v>56682.020743778048</v>
      </c>
      <c r="CN2" s="56">
        <v>36465</v>
      </c>
      <c r="CO2" s="8">
        <f>BW2</f>
        <v>25007.284206784701</v>
      </c>
      <c r="CP2" s="11">
        <f>BY2</f>
        <v>97.439695447942228</v>
      </c>
      <c r="CQ2" s="17">
        <f>BZ2</f>
        <v>12.377631110711697</v>
      </c>
      <c r="CR2">
        <f>CA2</f>
        <v>0</v>
      </c>
      <c r="CS2">
        <v>0</v>
      </c>
      <c r="CT2" s="56">
        <v>36465</v>
      </c>
      <c r="CU2" s="8">
        <f>AN2</f>
        <v>45150</v>
      </c>
      <c r="CV2" s="8">
        <f t="shared" ref="CV2:CV11" si="7">($CR$19*CO2)+($CQ$19*CP2)+($CP$19*CQ2)+($CO$19*CR2)</f>
        <v>49753.172727570054</v>
      </c>
      <c r="CW2" s="8">
        <f t="shared" ref="CW2:CW11" si="8">($CS$25*CO2)+($CR$25*CP2)+($CQ$25*CQ2)+($CP$25*CR2)+($CO$25*CS2)</f>
        <v>50594.09526713955</v>
      </c>
      <c r="CX2" s="8">
        <f>($CY$19*CO2)+($CX$19*CP2)+($CW$19*CQ2)+($CV$19*CR2)+($CU$19*CS2)</f>
        <v>49973.588340424561</v>
      </c>
      <c r="CY2" s="8">
        <f>($DD$19*CO2)+($DC$19*CP2)+($DB$19*CQ2)+($DA$19*CR2)</f>
        <v>48405.507554062555</v>
      </c>
      <c r="DW2" s="56">
        <v>36465</v>
      </c>
      <c r="DX2" s="8">
        <f>CO2</f>
        <v>25007.284206784701</v>
      </c>
      <c r="DY2" s="11">
        <f>BV2</f>
        <v>237430.70957020944</v>
      </c>
      <c r="DZ2">
        <f>CR2</f>
        <v>0</v>
      </c>
      <c r="EA2">
        <f>CS2</f>
        <v>0</v>
      </c>
      <c r="EB2" s="11">
        <f t="shared" ref="EB2:EB16" si="9">CP2</f>
        <v>97.439695447942228</v>
      </c>
      <c r="EC2" s="56">
        <v>36465</v>
      </c>
      <c r="ED2" s="8">
        <f>CU2</f>
        <v>45150</v>
      </c>
      <c r="EE2" s="8">
        <f>($EB$18*DX2)+($EA$18*DY2)+($DZ$18*DZ2)+($DY$18*EA2)+($DX$18*EB2)</f>
        <v>47715.5407308211</v>
      </c>
      <c r="EF2" s="8">
        <f>($EG$18*DX2)+($EF$18*DY2)+($EE$18*DZ2)+($ED$18*EA2)</f>
        <v>39458.587101646197</v>
      </c>
      <c r="EG2" s="8">
        <f>($EK$18*DX2)+($EJ$18*DY2)+($EI$18*DZ2)</f>
        <v>41551.920373560584</v>
      </c>
      <c r="EH2" s="8">
        <f>($EN$18*DX2)+($EM$18*DY2)</f>
        <v>41935.112413645315</v>
      </c>
      <c r="EI2" s="8">
        <f>($EB$24*DX2)+($EA$24*DY2)+($DZ$24*DZ2)+($DY$24*EA2)+($DX$24*EB2)</f>
        <v>54460.028183063929</v>
      </c>
    </row>
    <row r="3" spans="1:139" x14ac:dyDescent="0.25">
      <c r="A3" s="38">
        <v>1999</v>
      </c>
      <c r="B3" s="11">
        <v>90.280871836960173</v>
      </c>
      <c r="C3" s="11">
        <v>81.727845097280877</v>
      </c>
      <c r="D3" s="11">
        <v>124.8687652144536</v>
      </c>
      <c r="E3" s="11">
        <v>24.010653747484703</v>
      </c>
      <c r="F3" s="11">
        <v>22.890556889065241</v>
      </c>
      <c r="G3" s="11">
        <v>39.724455219204145</v>
      </c>
      <c r="H3" s="11">
        <v>41.99394678203592</v>
      </c>
      <c r="I3" s="11">
        <v>33.075786886145934</v>
      </c>
      <c r="J3" s="11">
        <v>19.534382543032741</v>
      </c>
      <c r="K3" s="11">
        <v>68.762469774297017</v>
      </c>
      <c r="L3" s="11">
        <v>93.441888545962286</v>
      </c>
      <c r="M3" s="11">
        <v>78.85714278325041</v>
      </c>
      <c r="N3" s="11">
        <v>719.16876531917285</v>
      </c>
      <c r="O3" s="11">
        <f>SUM(F3:K3)</f>
        <v>225.98159809378097</v>
      </c>
      <c r="P3" s="11">
        <f>B3+C3+D3</f>
        <v>296.87748214869464</v>
      </c>
      <c r="Q3" s="11">
        <f>B4+C4+D4+L3+M3</f>
        <v>388.09733643889717</v>
      </c>
      <c r="R3" t="s">
        <v>431</v>
      </c>
      <c r="S3" t="s">
        <v>432</v>
      </c>
      <c r="T3" t="s">
        <v>433</v>
      </c>
      <c r="U3" t="s">
        <v>434</v>
      </c>
      <c r="V3" t="s">
        <v>435</v>
      </c>
      <c r="W3" t="s">
        <v>436</v>
      </c>
      <c r="X3" t="s">
        <v>437</v>
      </c>
      <c r="Y3" t="s">
        <v>250</v>
      </c>
      <c r="Z3" t="s">
        <v>251</v>
      </c>
      <c r="AA3" t="s">
        <v>144</v>
      </c>
      <c r="AH3" s="56">
        <f>AB38</f>
        <v>36831</v>
      </c>
      <c r="AI3" s="8">
        <f>AD38+AC38</f>
        <v>79310.250471163541</v>
      </c>
      <c r="AJ3" s="8">
        <f>AE38</f>
        <v>80790.467915109184</v>
      </c>
      <c r="AK3" s="11">
        <f t="shared" ref="AK3:AK10" si="10">O4-$O$21</f>
        <v>-45.483492495166047</v>
      </c>
      <c r="AL3" s="11">
        <f t="shared" ref="AL3:AL11" si="11">P4-$P$21</f>
        <v>16.360518408932052</v>
      </c>
      <c r="AM3" s="56">
        <v>36831</v>
      </c>
      <c r="AN3" s="8">
        <v>48139.799999999996</v>
      </c>
      <c r="AP3">
        <v>1998</v>
      </c>
      <c r="AY3" s="8">
        <v>100000</v>
      </c>
      <c r="BC3" s="56">
        <v>36831</v>
      </c>
      <c r="BD3" s="8">
        <f t="shared" si="0"/>
        <v>79310.250471163541</v>
      </c>
      <c r="BE3" s="8">
        <f t="shared" ref="BE3:BE11" si="12">AY4+AJ3</f>
        <v>45965.318651426933</v>
      </c>
      <c r="BF3">
        <v>1</v>
      </c>
      <c r="BH3" s="56">
        <v>36831</v>
      </c>
      <c r="BI3" s="8">
        <f t="shared" si="1"/>
        <v>48139.799999999996</v>
      </c>
      <c r="BJ3" s="8">
        <f t="shared" si="2"/>
        <v>25368.249360359281</v>
      </c>
      <c r="BK3" s="8">
        <f t="shared" si="3"/>
        <v>48139.799999999988</v>
      </c>
      <c r="BU3" s="56">
        <v>36831</v>
      </c>
      <c r="BV3" s="8">
        <f t="shared" ref="BV3:BW3" si="13">AZ5</f>
        <v>45965.318651426933</v>
      </c>
      <c r="BW3" s="8">
        <f t="shared" si="13"/>
        <v>53560.069993010911</v>
      </c>
      <c r="BX3" s="11">
        <f t="shared" ref="BX3:BX11" si="14">O4-$O$21</f>
        <v>-45.483492495166047</v>
      </c>
      <c r="BY3" s="11">
        <f t="shared" ref="BY3:BY11" si="15">P4-$P$21</f>
        <v>16.360518408932052</v>
      </c>
      <c r="BZ3" s="20">
        <f t="shared" ref="BZ3:BZ11" si="16">LN(BV3)</f>
        <v>10.735642448753472</v>
      </c>
      <c r="CA3">
        <v>0</v>
      </c>
      <c r="CB3" s="56">
        <v>36831</v>
      </c>
      <c r="CC3" s="8">
        <f t="shared" si="4"/>
        <v>48139.799999999996</v>
      </c>
      <c r="CD3" s="8">
        <f t="shared" si="5"/>
        <v>46788.185446010641</v>
      </c>
      <c r="CE3" s="8">
        <f t="shared" si="6"/>
        <v>45016.23576795953</v>
      </c>
      <c r="CN3" s="56">
        <v>36831</v>
      </c>
      <c r="CO3" s="8">
        <f t="shared" ref="CO3:CO11" si="17">BW3</f>
        <v>53560.069993010911</v>
      </c>
      <c r="CP3" s="11">
        <f t="shared" ref="CP3:CP11" si="18">BY3</f>
        <v>16.360518408932052</v>
      </c>
      <c r="CQ3" s="17">
        <f t="shared" ref="CQ3:CQ16" si="19">BZ3</f>
        <v>10.735642448753472</v>
      </c>
      <c r="CR3">
        <f t="shared" ref="CR3:CR11" si="20">CA3</f>
        <v>0</v>
      </c>
      <c r="CS3">
        <v>0</v>
      </c>
      <c r="CT3" s="56">
        <v>36831</v>
      </c>
      <c r="CU3" s="8">
        <f t="shared" ref="CU3:CU16" si="21">AN3</f>
        <v>48139.799999999996</v>
      </c>
      <c r="CV3" s="8">
        <f t="shared" si="7"/>
        <v>46996.824333618897</v>
      </c>
      <c r="CW3" s="8">
        <f t="shared" si="8"/>
        <v>46508.860247646349</v>
      </c>
      <c r="CX3" s="8">
        <f t="shared" ref="CX3:CX16" si="22">($CY$19*CO3)+($CX$19*CP3)+($CW$19*CQ3)+($CV$19*CR3)+($CU$19*CS3)</f>
        <v>41550.729491541424</v>
      </c>
      <c r="CY3" s="8">
        <f t="shared" ref="CY3:CY16" si="23">($DD$19*CO3)+($DC$19*CP3)+($DB$19*CQ3)+($DA$19*CR3)</f>
        <v>41093.190905536598</v>
      </c>
      <c r="DW3" s="56">
        <v>36831</v>
      </c>
      <c r="DX3" s="8">
        <f t="shared" ref="DX3:DX16" si="24">CO3</f>
        <v>53560.069993010911</v>
      </c>
      <c r="DY3" s="11">
        <f t="shared" ref="DY3:DY16" si="25">BV3</f>
        <v>45965.318651426933</v>
      </c>
      <c r="DZ3">
        <f t="shared" ref="DZ3:DZ16" si="26">CR3</f>
        <v>0</v>
      </c>
      <c r="EA3">
        <f t="shared" ref="EA3:EA10" si="27">CS3</f>
        <v>0</v>
      </c>
      <c r="EB3" s="11">
        <f t="shared" si="9"/>
        <v>16.360518408932052</v>
      </c>
      <c r="EC3" s="56">
        <v>36831</v>
      </c>
      <c r="ED3" s="8">
        <f t="shared" ref="ED3:ED16" si="28">CU3</f>
        <v>48139.799999999996</v>
      </c>
      <c r="EE3" s="8">
        <f t="shared" ref="EE3:EE16" si="29">($EB$18*DX3)+($EA$18*DY3)+($DZ$18*DZ3)+($DY$18*EA3)+($DX$18*EB3)</f>
        <v>34534.20994466776</v>
      </c>
      <c r="EF3" s="8">
        <f t="shared" ref="EF3:EF16" si="30">($EG$18*DX3)+($EF$18*DY3)+($EE$18*DZ3)+($ED$18*EA3)</f>
        <v>34129.574709704648</v>
      </c>
      <c r="EG3" s="8">
        <f t="shared" ref="EG3:EG16" si="31">($EK$18*DX3)+($EJ$18*DY3)+($EI$18*DZ3)</f>
        <v>38609.00210766941</v>
      </c>
      <c r="EH3" s="8">
        <f t="shared" ref="EH3:EH16" si="32">($EN$18*DX3)+($EM$18*DY3)</f>
        <v>39471.707501440818</v>
      </c>
      <c r="EI3" s="8">
        <f t="shared" ref="EI3:EI16" si="33">($EB$24*DX3)+($EA$24*DY3)+($DZ$24*DZ3)+($DY$24*EA3)+($DX$24*EB3)</f>
        <v>40841.424966783947</v>
      </c>
    </row>
    <row r="4" spans="1:139" x14ac:dyDescent="0.25">
      <c r="A4" s="38">
        <v>2000</v>
      </c>
      <c r="B4" s="11">
        <v>51.8900727509875</v>
      </c>
      <c r="C4" s="11">
        <v>61.65956413139731</v>
      </c>
      <c r="D4" s="11">
        <v>102.24866822729965</v>
      </c>
      <c r="E4" s="11">
        <v>17.507263946764116</v>
      </c>
      <c r="F4" s="11">
        <v>32.296610178728081</v>
      </c>
      <c r="G4" s="11">
        <v>13.560532685342192</v>
      </c>
      <c r="H4" s="11">
        <v>17.338983017364946</v>
      </c>
      <c r="I4" s="11">
        <v>11.708716710023673</v>
      </c>
      <c r="J4" s="11">
        <v>3.1581113780093251</v>
      </c>
      <c r="K4" s="11">
        <v>56.768765050042916</v>
      </c>
      <c r="L4" s="11">
        <v>122.00460040482713</v>
      </c>
      <c r="M4" s="11">
        <v>52.475060603809126</v>
      </c>
      <c r="N4" s="11">
        <v>542.61694908459594</v>
      </c>
      <c r="O4" s="11">
        <f t="shared" ref="O4:O19" si="34">SUM(F4:K4)</f>
        <v>134.83171901951113</v>
      </c>
      <c r="P4" s="11">
        <f t="shared" ref="P4:P19" si="35">B4+C4+D4</f>
        <v>215.79830510968446</v>
      </c>
      <c r="Q4" s="11">
        <f t="shared" ref="Q4:Q18" si="36">B5+C5+D5+L4+M4</f>
        <v>380.95012134154837</v>
      </c>
      <c r="R4" s="56">
        <v>35796</v>
      </c>
      <c r="S4" s="8">
        <v>2192.3451571464552</v>
      </c>
      <c r="T4" s="8">
        <v>0</v>
      </c>
      <c r="U4" s="8">
        <v>0</v>
      </c>
      <c r="V4" s="8">
        <v>22179.268589794639</v>
      </c>
      <c r="W4" s="8">
        <v>0</v>
      </c>
      <c r="X4" s="8">
        <v>0</v>
      </c>
      <c r="Y4" s="8">
        <v>12410.897728955746</v>
      </c>
      <c r="Z4" s="8">
        <v>7.6963806152343814E-2</v>
      </c>
      <c r="AA4" s="8">
        <v>0</v>
      </c>
      <c r="AH4" s="56">
        <f>AB50</f>
        <v>37196</v>
      </c>
      <c r="AI4" s="8">
        <f>AD50+AC50</f>
        <v>193854.57217918377</v>
      </c>
      <c r="AJ4" s="8">
        <f>AE50</f>
        <v>279071.95295889175</v>
      </c>
      <c r="AK4" s="11">
        <f t="shared" si="10"/>
        <v>20.561301953762694</v>
      </c>
      <c r="AL4" s="11">
        <f t="shared" si="11"/>
        <v>7.032673632159657</v>
      </c>
      <c r="AM4" s="56">
        <v>37196</v>
      </c>
      <c r="AN4" s="8">
        <v>48240</v>
      </c>
      <c r="AP4">
        <v>1999</v>
      </c>
      <c r="AQ4" s="8">
        <f>AI2+AJ2+AY3</f>
        <v>351071.55918037106</v>
      </c>
      <c r="AR4" s="11">
        <f>Q3</f>
        <v>388.09733643889717</v>
      </c>
      <c r="AS4" s="11">
        <f>AR4-$Q$21</f>
        <v>45.300756491576351</v>
      </c>
      <c r="AT4" s="8">
        <f>AN2</f>
        <v>45150</v>
      </c>
      <c r="AU4" s="8">
        <f>AT4*$AY$1</f>
        <v>406350</v>
      </c>
      <c r="AV4" s="8">
        <f>AU4-(AT4*(AS4/100))</f>
        <v>385896.70844405331</v>
      </c>
      <c r="AW4" s="8">
        <f>AQ4-AV4</f>
        <v>-34825.149263682251</v>
      </c>
      <c r="AX4" s="8">
        <f>AE27</f>
        <v>78251.939500945082</v>
      </c>
      <c r="AY4" s="8">
        <f>IF(AW4&gt;0, AW4,IF(-AW4&gt;AX4,-AX4,AW4))</f>
        <v>-34825.149263682251</v>
      </c>
      <c r="AZ4" s="8">
        <f>AY3+AJ2</f>
        <v>237430.70957020944</v>
      </c>
      <c r="BA4" s="8">
        <f>AC27</f>
        <v>25007.284206784701</v>
      </c>
      <c r="BC4" s="56">
        <v>37196</v>
      </c>
      <c r="BD4" s="8">
        <f t="shared" si="0"/>
        <v>193854.57217918377</v>
      </c>
      <c r="BE4" s="8">
        <f t="shared" si="12"/>
        <v>6007.9227751829312</v>
      </c>
      <c r="BF4">
        <v>0</v>
      </c>
      <c r="BH4" s="56">
        <v>37196</v>
      </c>
      <c r="BI4" s="8">
        <f t="shared" si="1"/>
        <v>48240</v>
      </c>
      <c r="BJ4" s="8">
        <f t="shared" si="2"/>
        <v>55351.427496912533</v>
      </c>
      <c r="BK4" s="8">
        <f t="shared" si="3"/>
        <v>51362.376422759189</v>
      </c>
      <c r="BU4" s="56">
        <v>37196</v>
      </c>
      <c r="BV4" s="8">
        <f t="shared" ref="BV4:BW4" si="37">AZ6</f>
        <v>6007.9227751829312</v>
      </c>
      <c r="BW4" s="8">
        <f t="shared" si="37"/>
        <v>37501.59450783208</v>
      </c>
      <c r="BX4" s="11">
        <f t="shared" si="14"/>
        <v>20.561301953762694</v>
      </c>
      <c r="BY4" s="11">
        <f t="shared" si="15"/>
        <v>7.032673632159657</v>
      </c>
      <c r="BZ4" s="20">
        <f t="shared" si="16"/>
        <v>8.7008343396967369</v>
      </c>
      <c r="CA4">
        <v>0</v>
      </c>
      <c r="CB4" s="56">
        <v>37196</v>
      </c>
      <c r="CC4" s="8">
        <f t="shared" si="4"/>
        <v>48240</v>
      </c>
      <c r="CD4" s="8">
        <f t="shared" si="5"/>
        <v>46827.047865935157</v>
      </c>
      <c r="CE4" s="8">
        <f t="shared" si="6"/>
        <v>43941.906200936523</v>
      </c>
      <c r="CN4" s="56">
        <v>37196</v>
      </c>
      <c r="CO4" s="8">
        <f t="shared" si="17"/>
        <v>37501.59450783208</v>
      </c>
      <c r="CP4" s="11">
        <f t="shared" si="18"/>
        <v>7.032673632159657</v>
      </c>
      <c r="CQ4" s="17">
        <f t="shared" si="19"/>
        <v>8.7008343396967369</v>
      </c>
      <c r="CR4">
        <f t="shared" si="20"/>
        <v>0</v>
      </c>
      <c r="CS4">
        <v>0</v>
      </c>
      <c r="CT4" s="56">
        <v>37196</v>
      </c>
      <c r="CU4" s="8">
        <f t="shared" si="21"/>
        <v>48240</v>
      </c>
      <c r="CV4" s="8">
        <f t="shared" si="7"/>
        <v>32917.73631740245</v>
      </c>
      <c r="CW4" s="8">
        <f t="shared" si="8"/>
        <v>32965.295575145879</v>
      </c>
      <c r="CX4" s="8">
        <f t="shared" si="22"/>
        <v>31532.435734569211</v>
      </c>
      <c r="CY4" s="8">
        <f t="shared" si="23"/>
        <v>30726.54493247658</v>
      </c>
      <c r="DW4" s="56">
        <v>37196</v>
      </c>
      <c r="DX4" s="8">
        <f t="shared" si="24"/>
        <v>37501.59450783208</v>
      </c>
      <c r="DY4" s="11">
        <f t="shared" si="25"/>
        <v>6007.9227751829312</v>
      </c>
      <c r="DZ4">
        <v>0</v>
      </c>
      <c r="EA4">
        <v>1</v>
      </c>
      <c r="EB4" s="11">
        <f t="shared" si="9"/>
        <v>7.032673632159657</v>
      </c>
      <c r="EC4" s="56">
        <v>37196</v>
      </c>
      <c r="ED4" s="8">
        <f t="shared" si="28"/>
        <v>48240</v>
      </c>
      <c r="EE4" s="8">
        <f t="shared" si="29"/>
        <v>47971.777912968944</v>
      </c>
      <c r="EF4" s="8">
        <f t="shared" si="30"/>
        <v>45668.226352882935</v>
      </c>
      <c r="EG4" s="8">
        <f t="shared" si="31"/>
        <v>24181.86010644972</v>
      </c>
      <c r="EH4" s="8">
        <f t="shared" si="32"/>
        <v>24788.283989214997</v>
      </c>
      <c r="EI4" s="8">
        <f t="shared" si="33"/>
        <v>48852.125053077667</v>
      </c>
    </row>
    <row r="5" spans="1:139" x14ac:dyDescent="0.25">
      <c r="A5" s="38">
        <v>2001</v>
      </c>
      <c r="B5" s="11">
        <v>48.877966042580965</v>
      </c>
      <c r="C5" s="11">
        <v>90.93753060070712</v>
      </c>
      <c r="D5" s="11">
        <v>66.654963689623969</v>
      </c>
      <c r="E5" s="11">
        <v>29.632687693358044</v>
      </c>
      <c r="F5" s="11">
        <v>34.307990381273171</v>
      </c>
      <c r="G5" s="11">
        <v>27.019612610195797</v>
      </c>
      <c r="H5" s="11">
        <v>71.520581187693892</v>
      </c>
      <c r="I5" s="11">
        <v>13.41283293440036</v>
      </c>
      <c r="J5" s="11">
        <v>10.561259063046435</v>
      </c>
      <c r="K5" s="11">
        <v>44.054237291830212</v>
      </c>
      <c r="L5" s="11">
        <v>89.197094323848702</v>
      </c>
      <c r="M5" s="11">
        <v>40.306779736756702</v>
      </c>
      <c r="N5" s="11">
        <v>566.48353555531526</v>
      </c>
      <c r="O5" s="11">
        <f t="shared" si="34"/>
        <v>200.87651346843987</v>
      </c>
      <c r="P5" s="11">
        <f t="shared" si="35"/>
        <v>206.47046033291207</v>
      </c>
      <c r="Q5" s="11">
        <f t="shared" si="36"/>
        <v>289.01815973702128</v>
      </c>
      <c r="R5" s="56">
        <v>35827</v>
      </c>
      <c r="S5" s="8">
        <v>8591.2026422619801</v>
      </c>
      <c r="T5" s="8">
        <v>0</v>
      </c>
      <c r="U5" s="8">
        <v>0</v>
      </c>
      <c r="V5" s="8">
        <v>14000.526185512546</v>
      </c>
      <c r="W5" s="8">
        <v>5.9631585776805895</v>
      </c>
      <c r="X5" s="8">
        <v>0</v>
      </c>
      <c r="Y5" s="8">
        <v>5871.3435433387758</v>
      </c>
      <c r="Z5" s="8">
        <v>145.99253062941133</v>
      </c>
      <c r="AA5" s="8">
        <v>0</v>
      </c>
      <c r="AH5" s="56">
        <f>AB62</f>
        <v>37561</v>
      </c>
      <c r="AI5" s="8">
        <f>AD62+AC62</f>
        <v>125771.21364742964</v>
      </c>
      <c r="AJ5" s="8">
        <f>AE62</f>
        <v>95537.446457045749</v>
      </c>
      <c r="AK5" s="11">
        <f t="shared" si="10"/>
        <v>-81.33385560972161</v>
      </c>
      <c r="AL5" s="11">
        <f t="shared" si="11"/>
        <v>-39.923501024336559</v>
      </c>
      <c r="AM5" s="56">
        <v>37561</v>
      </c>
      <c r="AN5" s="8">
        <v>33235.300000000003</v>
      </c>
      <c r="AP5">
        <v>2000</v>
      </c>
      <c r="AQ5" s="8">
        <f>AI3+AJ3+AY4</f>
        <v>125275.56912259047</v>
      </c>
      <c r="AR5" s="11">
        <f t="shared" ref="AR5:AR13" si="38">Q4</f>
        <v>380.95012134154837</v>
      </c>
      <c r="AS5" s="11">
        <f t="shared" ref="AS5:AS13" si="39">AR5-$Q$21</f>
        <v>38.153541394227545</v>
      </c>
      <c r="AT5" s="8">
        <f>AN3</f>
        <v>48139.799999999996</v>
      </c>
      <c r="AU5" s="8">
        <f>AT5*$AY$1</f>
        <v>433258.19999999995</v>
      </c>
      <c r="AV5" s="8">
        <f>AU5-(AT5*(AS5/100))</f>
        <v>414891.16147990158</v>
      </c>
      <c r="AW5" s="8">
        <f>AQ5-AV5</f>
        <v>-289615.59235731111</v>
      </c>
      <c r="AX5" s="8">
        <f>AE39</f>
        <v>273064.03018370882</v>
      </c>
      <c r="AY5" s="8">
        <f t="shared" ref="AY5:AY13" si="40">IF(AW5&gt;0, AW5,IF(-AW5&gt;AX5,-AX5,AW5))</f>
        <v>-273064.03018370882</v>
      </c>
      <c r="AZ5" s="8">
        <f t="shared" ref="AZ5:AZ13" si="41">AY4+AJ3</f>
        <v>45965.318651426933</v>
      </c>
      <c r="BA5" s="8">
        <f>AC39</f>
        <v>53560.069993010911</v>
      </c>
      <c r="BC5" s="56">
        <v>37561</v>
      </c>
      <c r="BD5" s="8">
        <f t="shared" si="0"/>
        <v>125771.21364742964</v>
      </c>
      <c r="BE5" s="8">
        <f t="shared" si="12"/>
        <v>39754.187290230213</v>
      </c>
      <c r="BF5">
        <v>0</v>
      </c>
      <c r="BH5" s="56">
        <v>37561</v>
      </c>
      <c r="BI5" s="8">
        <f t="shared" si="1"/>
        <v>33235.300000000003</v>
      </c>
      <c r="BJ5" s="8">
        <f t="shared" si="2"/>
        <v>38155.468451862602</v>
      </c>
      <c r="BK5" s="8">
        <f t="shared" si="3"/>
        <v>35605.295677821181</v>
      </c>
      <c r="BU5" s="56">
        <v>37561</v>
      </c>
      <c r="BV5" s="8">
        <f t="shared" ref="BV5:BW5" si="42">AZ7</f>
        <v>39754.187290230213</v>
      </c>
      <c r="BW5" s="8">
        <f t="shared" si="42"/>
        <v>64762.991882936287</v>
      </c>
      <c r="BX5" s="11">
        <f t="shared" si="14"/>
        <v>-81.33385560972161</v>
      </c>
      <c r="BY5" s="11">
        <f t="shared" si="15"/>
        <v>-39.923501024336559</v>
      </c>
      <c r="BZ5" s="20">
        <f t="shared" si="16"/>
        <v>10.590470455169266</v>
      </c>
      <c r="CA5">
        <v>0</v>
      </c>
      <c r="CB5" s="56">
        <v>37561</v>
      </c>
      <c r="CC5" s="8">
        <f t="shared" si="4"/>
        <v>33235.300000000003</v>
      </c>
      <c r="CD5" s="8">
        <f t="shared" si="5"/>
        <v>38663.625911994655</v>
      </c>
      <c r="CE5" s="8">
        <f t="shared" si="6"/>
        <v>36791.105010127445</v>
      </c>
      <c r="CN5" s="56">
        <v>37561</v>
      </c>
      <c r="CO5" s="8">
        <f t="shared" si="17"/>
        <v>64762.991882936287</v>
      </c>
      <c r="CP5" s="11">
        <f t="shared" si="18"/>
        <v>-39.923501024336559</v>
      </c>
      <c r="CQ5" s="17">
        <f t="shared" si="19"/>
        <v>10.590470455169266</v>
      </c>
      <c r="CR5">
        <f t="shared" si="20"/>
        <v>0</v>
      </c>
      <c r="CS5">
        <v>0</v>
      </c>
      <c r="CT5" s="56">
        <v>37561</v>
      </c>
      <c r="CU5" s="8">
        <f t="shared" si="21"/>
        <v>33235.300000000003</v>
      </c>
      <c r="CV5" s="8">
        <f t="shared" si="7"/>
        <v>40574.713703913076</v>
      </c>
      <c r="CW5" s="8">
        <f t="shared" si="8"/>
        <v>39990.057240443057</v>
      </c>
      <c r="CX5" s="8">
        <f t="shared" si="22"/>
        <v>36306.890681574376</v>
      </c>
      <c r="CY5" s="8">
        <f t="shared" si="23"/>
        <v>35759.376902954267</v>
      </c>
      <c r="DW5" s="56">
        <v>37561</v>
      </c>
      <c r="DX5" s="8">
        <f t="shared" si="24"/>
        <v>64762.991882936287</v>
      </c>
      <c r="DY5" s="11">
        <f t="shared" si="25"/>
        <v>39754.187290230213</v>
      </c>
      <c r="DZ5">
        <f t="shared" si="26"/>
        <v>0</v>
      </c>
      <c r="EA5">
        <f t="shared" si="27"/>
        <v>0</v>
      </c>
      <c r="EB5" s="11">
        <f t="shared" si="9"/>
        <v>-39.923501024336559</v>
      </c>
      <c r="EC5" s="56">
        <v>37561</v>
      </c>
      <c r="ED5" s="8">
        <f t="shared" si="28"/>
        <v>33235.300000000003</v>
      </c>
      <c r="EE5" s="8">
        <f t="shared" si="29"/>
        <v>32752.24148226473</v>
      </c>
      <c r="EF5" s="8">
        <f t="shared" si="30"/>
        <v>39544.590400462752</v>
      </c>
      <c r="EG5" s="8">
        <f t="shared" si="31"/>
        <v>44960.821871446373</v>
      </c>
      <c r="EH5" s="8">
        <f t="shared" si="32"/>
        <v>46005.412217555626</v>
      </c>
      <c r="EI5" s="8">
        <f t="shared" si="33"/>
        <v>36350.390478619382</v>
      </c>
    </row>
    <row r="6" spans="1:139" x14ac:dyDescent="0.25">
      <c r="A6" s="38">
        <v>2002</v>
      </c>
      <c r="B6" s="11">
        <v>26.719370516391411</v>
      </c>
      <c r="C6" s="11">
        <v>42.217917684781348</v>
      </c>
      <c r="D6" s="11">
        <v>90.576997475243076</v>
      </c>
      <c r="E6" s="11">
        <v>3.6878934633212284</v>
      </c>
      <c r="F6" s="11">
        <v>5.0830508433011774</v>
      </c>
      <c r="G6" s="11">
        <v>15.087167047126529</v>
      </c>
      <c r="H6" s="11">
        <v>6.460048426150121</v>
      </c>
      <c r="I6" s="11">
        <v>43.745762711864408</v>
      </c>
      <c r="J6" s="11">
        <v>9.2590799031477005</v>
      </c>
      <c r="K6" s="11">
        <v>19.346246973365616</v>
      </c>
      <c r="L6" s="11">
        <v>31.723970944309926</v>
      </c>
      <c r="M6" s="11">
        <v>79.222760290556906</v>
      </c>
      <c r="N6" s="11">
        <v>373.13026627955946</v>
      </c>
      <c r="O6" s="11">
        <f t="shared" si="34"/>
        <v>98.981355904955564</v>
      </c>
      <c r="P6" s="11">
        <f t="shared" si="35"/>
        <v>159.51428567641585</v>
      </c>
      <c r="Q6" s="11">
        <f t="shared" si="36"/>
        <v>263.73123486682806</v>
      </c>
      <c r="R6" s="56">
        <v>35855</v>
      </c>
      <c r="S6" s="8">
        <v>4413.9281682968158</v>
      </c>
      <c r="T6" s="8">
        <v>0</v>
      </c>
      <c r="U6" s="8">
        <v>0</v>
      </c>
      <c r="V6" s="8">
        <v>8242.7712311744726</v>
      </c>
      <c r="W6" s="8">
        <v>0</v>
      </c>
      <c r="X6" s="8">
        <v>0</v>
      </c>
      <c r="Y6" s="8">
        <v>3192.9225274682067</v>
      </c>
      <c r="Z6" s="8">
        <v>0</v>
      </c>
      <c r="AA6" s="8">
        <v>0</v>
      </c>
      <c r="AH6" s="56">
        <f>AB74</f>
        <v>37926</v>
      </c>
      <c r="AI6" s="8">
        <f>AD74+AC74</f>
        <v>52133.071280651915</v>
      </c>
      <c r="AJ6" s="8">
        <f>AE74</f>
        <v>74867.446723124638</v>
      </c>
      <c r="AK6" s="11">
        <f t="shared" si="10"/>
        <v>-13.885187309842848</v>
      </c>
      <c r="AL6" s="11">
        <f t="shared" si="11"/>
        <v>-46.653283068791154</v>
      </c>
      <c r="AM6" s="56">
        <v>37926</v>
      </c>
      <c r="AN6" s="8">
        <v>14697</v>
      </c>
      <c r="AP6">
        <v>2001</v>
      </c>
      <c r="AQ6" s="8">
        <f>AI4+AJ4+AY5</f>
        <v>199862.4949543667</v>
      </c>
      <c r="AR6" s="11">
        <f t="shared" si="38"/>
        <v>289.01815973702128</v>
      </c>
      <c r="AS6" s="11">
        <f t="shared" si="39"/>
        <v>-53.778420210299544</v>
      </c>
      <c r="AT6" s="8">
        <f>AN4</f>
        <v>48240</v>
      </c>
      <c r="AU6" s="8">
        <f>AT6*$AY$1</f>
        <v>434160</v>
      </c>
      <c r="AV6" s="8">
        <f>AU6-(AT6*(AS6/100))</f>
        <v>460102.70990944852</v>
      </c>
      <c r="AW6" s="8">
        <f>AQ6-AV6</f>
        <v>-260240.21495508181</v>
      </c>
      <c r="AX6" s="8">
        <f>AE51</f>
        <v>55783.259166815536</v>
      </c>
      <c r="AY6" s="8">
        <f t="shared" si="40"/>
        <v>-55783.259166815536</v>
      </c>
      <c r="AZ6" s="8">
        <f t="shared" si="41"/>
        <v>6007.9227751829312</v>
      </c>
      <c r="BA6" s="8">
        <f>AC51</f>
        <v>37501.59450783208</v>
      </c>
      <c r="BC6" s="56">
        <v>37926</v>
      </c>
      <c r="BD6" s="8">
        <f t="shared" si="0"/>
        <v>52133.071280651915</v>
      </c>
      <c r="BE6" s="8">
        <f t="shared" si="12"/>
        <v>30279.830544381526</v>
      </c>
      <c r="BF6">
        <v>0</v>
      </c>
      <c r="BH6" s="56">
        <v>37926</v>
      </c>
      <c r="BI6" s="8">
        <f t="shared" si="1"/>
        <v>14697</v>
      </c>
      <c r="BJ6" s="8">
        <f t="shared" si="2"/>
        <v>16679.425386434494</v>
      </c>
      <c r="BK6" s="8">
        <f t="shared" si="3"/>
        <v>15636.944669867466</v>
      </c>
      <c r="BU6" s="56">
        <v>37926</v>
      </c>
      <c r="BV6" s="8">
        <f t="shared" ref="BV6:BW6" si="43">AZ8</f>
        <v>30279.830544381526</v>
      </c>
      <c r="BW6" s="8">
        <f t="shared" si="43"/>
        <v>29214.797685424608</v>
      </c>
      <c r="BX6" s="11">
        <f t="shared" si="14"/>
        <v>-13.885187309842848</v>
      </c>
      <c r="BY6" s="11">
        <f t="shared" si="15"/>
        <v>-46.653283068791154</v>
      </c>
      <c r="BZ6" s="20">
        <f t="shared" si="16"/>
        <v>10.318237111247138</v>
      </c>
      <c r="CA6">
        <v>0</v>
      </c>
      <c r="CB6" s="56">
        <v>37926</v>
      </c>
      <c r="CC6" s="8">
        <f t="shared" si="4"/>
        <v>14697</v>
      </c>
      <c r="CD6" s="8">
        <f t="shared" si="5"/>
        <v>18884.64914807037</v>
      </c>
      <c r="CE6" s="8">
        <f t="shared" si="6"/>
        <v>21291.054862095014</v>
      </c>
      <c r="CN6" s="56">
        <v>37926</v>
      </c>
      <c r="CO6" s="8">
        <f t="shared" si="17"/>
        <v>29214.797685424608</v>
      </c>
      <c r="CP6" s="11">
        <f t="shared" si="18"/>
        <v>-46.653283068791154</v>
      </c>
      <c r="CQ6" s="17">
        <f t="shared" si="19"/>
        <v>10.318237111247138</v>
      </c>
      <c r="CR6">
        <f t="shared" si="20"/>
        <v>0</v>
      </c>
      <c r="CS6">
        <v>0</v>
      </c>
      <c r="CT6" s="56">
        <v>37926</v>
      </c>
      <c r="CU6" s="8">
        <f t="shared" si="21"/>
        <v>14697</v>
      </c>
      <c r="CV6" s="8">
        <f t="shared" si="7"/>
        <v>16478.691588430647</v>
      </c>
      <c r="CW6" s="8">
        <f t="shared" si="8"/>
        <v>18128.071081736933</v>
      </c>
      <c r="CX6" s="8">
        <f t="shared" si="22"/>
        <v>26751.80236173141</v>
      </c>
      <c r="CY6" s="8">
        <f t="shared" si="23"/>
        <v>24119.742378153805</v>
      </c>
      <c r="DW6" s="56">
        <v>37926</v>
      </c>
      <c r="DX6" s="8">
        <f t="shared" si="24"/>
        <v>29214.797685424608</v>
      </c>
      <c r="DY6" s="11">
        <f t="shared" si="25"/>
        <v>30279.830544381526</v>
      </c>
      <c r="DZ6">
        <f t="shared" si="26"/>
        <v>0</v>
      </c>
      <c r="EA6">
        <f t="shared" si="27"/>
        <v>0</v>
      </c>
      <c r="EB6" s="11">
        <f t="shared" si="9"/>
        <v>-46.653283068791154</v>
      </c>
      <c r="EC6" s="56">
        <v>37926</v>
      </c>
      <c r="ED6" s="8">
        <f t="shared" si="28"/>
        <v>14697</v>
      </c>
      <c r="EE6" s="8">
        <f t="shared" si="29"/>
        <v>12326.893348312129</v>
      </c>
      <c r="EF6" s="8">
        <f t="shared" si="30"/>
        <v>19183.486859372151</v>
      </c>
      <c r="EG6" s="8">
        <f t="shared" si="31"/>
        <v>21626.874160299911</v>
      </c>
      <c r="EH6" s="8">
        <f t="shared" si="32"/>
        <v>22096.971416000582</v>
      </c>
      <c r="EI6" s="8">
        <f t="shared" si="33"/>
        <v>11783.062424522659</v>
      </c>
    </row>
    <row r="7" spans="1:139" x14ac:dyDescent="0.25">
      <c r="A7" s="38">
        <v>2003</v>
      </c>
      <c r="B7" s="11">
        <v>7.7070217917675548</v>
      </c>
      <c r="C7" s="11">
        <v>87.416464891041159</v>
      </c>
      <c r="D7" s="11">
        <v>57.66101694915254</v>
      </c>
      <c r="E7" s="11">
        <v>53.602905569007262</v>
      </c>
      <c r="F7" s="11">
        <v>4.2033898305084749</v>
      </c>
      <c r="G7" s="11">
        <v>37.820823244552059</v>
      </c>
      <c r="H7" s="11">
        <v>34.153995153690367</v>
      </c>
      <c r="I7" s="11">
        <v>17.110653759492223</v>
      </c>
      <c r="J7" s="11">
        <v>0.25859564910789379</v>
      </c>
      <c r="K7" s="11">
        <v>72.882566567483309</v>
      </c>
      <c r="L7" s="11">
        <v>29.51186443356567</v>
      </c>
      <c r="M7" s="11">
        <v>104.35423742483661</v>
      </c>
      <c r="N7" s="11">
        <v>506.68353526420515</v>
      </c>
      <c r="O7" s="11">
        <f t="shared" si="34"/>
        <v>166.43002420483433</v>
      </c>
      <c r="P7" s="11">
        <f t="shared" si="35"/>
        <v>152.78450363196126</v>
      </c>
      <c r="Q7" s="11">
        <f t="shared" si="36"/>
        <v>427.20920105996493</v>
      </c>
      <c r="R7" s="56">
        <v>35886</v>
      </c>
      <c r="S7" s="8">
        <v>693.16278284788154</v>
      </c>
      <c r="T7" s="8">
        <v>0</v>
      </c>
      <c r="U7" s="8">
        <v>0</v>
      </c>
      <c r="V7" s="8">
        <v>1798.7751001417632</v>
      </c>
      <c r="W7" s="8">
        <v>0</v>
      </c>
      <c r="X7" s="8">
        <v>0</v>
      </c>
      <c r="Y7" s="8">
        <v>67.36462723305452</v>
      </c>
      <c r="Z7" s="8">
        <v>0</v>
      </c>
      <c r="AA7" s="8">
        <v>0</v>
      </c>
      <c r="AH7" s="56">
        <f>AB86</f>
        <v>38292</v>
      </c>
      <c r="AI7" s="8">
        <f>AD86+AC86</f>
        <v>67405.656983169538</v>
      </c>
      <c r="AJ7" s="8">
        <f>AE86</f>
        <v>178963.30695991192</v>
      </c>
      <c r="AK7" s="11">
        <f t="shared" si="10"/>
        <v>-25.70649479183777</v>
      </c>
      <c r="AL7" s="11">
        <f t="shared" si="11"/>
        <v>93.905312500810197</v>
      </c>
      <c r="AM7" s="56">
        <v>38292</v>
      </c>
      <c r="AN7" s="8">
        <v>43319.66</v>
      </c>
      <c r="AP7">
        <v>2002</v>
      </c>
      <c r="AQ7" s="8">
        <f>AI5+AJ5+AY6</f>
        <v>165525.40093765984</v>
      </c>
      <c r="AR7" s="11">
        <f t="shared" si="38"/>
        <v>263.73123486682806</v>
      </c>
      <c r="AS7" s="11">
        <f t="shared" si="39"/>
        <v>-79.065345080492762</v>
      </c>
      <c r="AT7" s="8">
        <f>AN5</f>
        <v>33235.300000000003</v>
      </c>
      <c r="AU7" s="8">
        <f>AT7*$AY$1</f>
        <v>299117.7</v>
      </c>
      <c r="AV7" s="8">
        <f>AU7-(AT7*(AS7/100))</f>
        <v>325395.30463353702</v>
      </c>
      <c r="AW7" s="8">
        <f>AQ7-AV7</f>
        <v>-159869.90369587718</v>
      </c>
      <c r="AX7" s="8">
        <f>AE63</f>
        <v>44587.616178743112</v>
      </c>
      <c r="AY7" s="8">
        <f t="shared" si="40"/>
        <v>-44587.616178743112</v>
      </c>
      <c r="AZ7" s="8">
        <f t="shared" si="41"/>
        <v>39754.187290230213</v>
      </c>
      <c r="BA7" s="8">
        <f>AC63</f>
        <v>64762.991882936287</v>
      </c>
      <c r="BC7" s="56">
        <v>38292</v>
      </c>
      <c r="BD7" s="8">
        <f t="shared" si="0"/>
        <v>67405.656983169538</v>
      </c>
      <c r="BE7" s="8">
        <f t="shared" si="12"/>
        <v>141509.33170987066</v>
      </c>
      <c r="BF7">
        <v>0</v>
      </c>
      <c r="BH7" s="56">
        <v>38292</v>
      </c>
      <c r="BI7" s="8">
        <f t="shared" si="1"/>
        <v>43319.66</v>
      </c>
      <c r="BJ7" s="8">
        <f t="shared" si="2"/>
        <v>27971.466422965863</v>
      </c>
      <c r="BK7" s="8">
        <f t="shared" si="3"/>
        <v>26731.751343355907</v>
      </c>
      <c r="BU7" s="56">
        <v>38292</v>
      </c>
      <c r="BV7" s="8">
        <f t="shared" ref="BV7:BW7" si="44">AZ9</f>
        <v>141509.33170987066</v>
      </c>
      <c r="BW7" s="8">
        <f t="shared" si="44"/>
        <v>12369.963382279871</v>
      </c>
      <c r="BX7" s="11">
        <f t="shared" si="14"/>
        <v>-25.70649479183777</v>
      </c>
      <c r="BY7" s="11">
        <f t="shared" si="15"/>
        <v>93.905312500810197</v>
      </c>
      <c r="BZ7" s="20">
        <f t="shared" si="16"/>
        <v>11.860120942370575</v>
      </c>
      <c r="CA7">
        <v>0</v>
      </c>
      <c r="CB7" s="56">
        <v>38292</v>
      </c>
      <c r="CC7" s="8">
        <f t="shared" si="4"/>
        <v>43319.66</v>
      </c>
      <c r="CD7" s="8">
        <f t="shared" si="5"/>
        <v>22279.550597351004</v>
      </c>
      <c r="CE7" s="8">
        <f t="shared" si="6"/>
        <v>28329.452145923566</v>
      </c>
      <c r="CN7" s="56">
        <v>38292</v>
      </c>
      <c r="CO7" s="8">
        <f t="shared" si="17"/>
        <v>12369.963382279871</v>
      </c>
      <c r="CP7" s="11">
        <f t="shared" si="18"/>
        <v>93.905312500810197</v>
      </c>
      <c r="CQ7" s="17">
        <f t="shared" si="19"/>
        <v>11.860120942370575</v>
      </c>
      <c r="CR7">
        <f t="shared" si="20"/>
        <v>0</v>
      </c>
      <c r="CS7">
        <v>0</v>
      </c>
      <c r="CT7" s="56">
        <v>38292</v>
      </c>
      <c r="CU7" s="8">
        <f t="shared" si="21"/>
        <v>43319.66</v>
      </c>
      <c r="CV7" s="8">
        <f t="shared" si="7"/>
        <v>40541.350420767245</v>
      </c>
      <c r="CW7" s="8">
        <f t="shared" si="8"/>
        <v>42069.440800517754</v>
      </c>
      <c r="CX7" s="8">
        <f t="shared" si="22"/>
        <v>45353.702861790647</v>
      </c>
      <c r="CY7" s="8">
        <f t="shared" si="23"/>
        <v>43178.572595320511</v>
      </c>
      <c r="DW7" s="56">
        <v>38292</v>
      </c>
      <c r="DX7" s="8">
        <f t="shared" si="24"/>
        <v>12369.963382279871</v>
      </c>
      <c r="DY7" s="11">
        <f t="shared" si="25"/>
        <v>141509.33170987066</v>
      </c>
      <c r="DZ7">
        <f t="shared" si="26"/>
        <v>0</v>
      </c>
      <c r="EA7">
        <f t="shared" si="27"/>
        <v>0</v>
      </c>
      <c r="EB7" s="11">
        <f t="shared" si="9"/>
        <v>93.905312500810197</v>
      </c>
      <c r="EC7" s="56">
        <v>38292</v>
      </c>
      <c r="ED7" s="8">
        <f t="shared" si="28"/>
        <v>43319.66</v>
      </c>
      <c r="EE7" s="8">
        <f t="shared" si="29"/>
        <v>31618.599894702995</v>
      </c>
      <c r="EF7" s="8">
        <f t="shared" si="30"/>
        <v>22139.330900702676</v>
      </c>
      <c r="EG7" s="8">
        <f t="shared" si="31"/>
        <v>23175.017045791035</v>
      </c>
      <c r="EH7" s="8">
        <f t="shared" si="32"/>
        <v>23362.380131270478</v>
      </c>
      <c r="EI7" s="8">
        <f t="shared" si="33"/>
        <v>37898.090089503763</v>
      </c>
    </row>
    <row r="8" spans="1:139" x14ac:dyDescent="0.25">
      <c r="A8" s="38">
        <v>2004</v>
      </c>
      <c r="B8" s="11">
        <v>157.53680381128345</v>
      </c>
      <c r="C8" s="11">
        <v>43.393220324204563</v>
      </c>
      <c r="D8" s="11">
        <v>92.413075066074626</v>
      </c>
      <c r="E8" s="11">
        <v>41.531476960632475</v>
      </c>
      <c r="F8" s="11">
        <v>18.503147718692809</v>
      </c>
      <c r="G8" s="11">
        <v>5.6309927329601441</v>
      </c>
      <c r="H8" s="11">
        <v>13.552058111380145</v>
      </c>
      <c r="I8" s="11">
        <v>12.651331719128329</v>
      </c>
      <c r="J8" s="11">
        <v>69.491525423728817</v>
      </c>
      <c r="K8" s="11">
        <v>34.779661016949156</v>
      </c>
      <c r="L8" s="11">
        <v>111.22033898305085</v>
      </c>
      <c r="M8" s="11">
        <v>132.84019370460049</v>
      </c>
      <c r="N8" s="11">
        <v>733.54382557268582</v>
      </c>
      <c r="O8" s="11">
        <f t="shared" si="34"/>
        <v>154.6087167228394</v>
      </c>
      <c r="P8" s="11">
        <f t="shared" si="35"/>
        <v>293.34309920156261</v>
      </c>
      <c r="Q8" s="11">
        <f t="shared" si="36"/>
        <v>302.36077481840198</v>
      </c>
      <c r="R8" s="56">
        <v>35916</v>
      </c>
      <c r="S8" s="8">
        <v>0</v>
      </c>
      <c r="T8" s="8">
        <v>15017.958635807039</v>
      </c>
      <c r="U8" s="8">
        <v>240</v>
      </c>
      <c r="V8" s="8">
        <v>0</v>
      </c>
      <c r="W8" s="8">
        <v>0</v>
      </c>
      <c r="X8" s="8">
        <v>0</v>
      </c>
      <c r="Y8" s="8">
        <v>32.329569400101917</v>
      </c>
      <c r="Z8" s="8">
        <v>1254.3527894962576</v>
      </c>
      <c r="AA8" s="8">
        <v>0</v>
      </c>
      <c r="AH8" s="56">
        <f>AB98</f>
        <v>38657</v>
      </c>
      <c r="AI8" s="8">
        <f>AD98+AC98</f>
        <v>79389.845154224895</v>
      </c>
      <c r="AJ8" s="8">
        <f>AE98</f>
        <v>116142.81053904265</v>
      </c>
      <c r="AK8" s="11">
        <f t="shared" si="10"/>
        <v>85.640478709903334</v>
      </c>
      <c r="AL8" s="11">
        <f t="shared" si="11"/>
        <v>-141.13754457000181</v>
      </c>
      <c r="AM8" s="56">
        <v>38657</v>
      </c>
      <c r="AN8" s="8">
        <v>35706.10000000002</v>
      </c>
      <c r="AP8">
        <v>2003</v>
      </c>
      <c r="AQ8" s="8">
        <f t="shared" ref="AQ8:AQ13" si="45">AI6+AJ6+AY7</f>
        <v>82412.901825033448</v>
      </c>
      <c r="AR8" s="11">
        <f t="shared" si="38"/>
        <v>427.20920105996493</v>
      </c>
      <c r="AS8" s="11">
        <f t="shared" si="39"/>
        <v>84.412621112644104</v>
      </c>
      <c r="AT8" s="8">
        <f t="shared" ref="AT8:AT13" si="46">AN6</f>
        <v>14697</v>
      </c>
      <c r="AU8" s="8">
        <f t="shared" ref="AU8:AU13" si="47">AT8*$AY$1</f>
        <v>132273</v>
      </c>
      <c r="AV8" s="8">
        <f t="shared" ref="AV8:AV13" si="48">AU8-(AT8*(AS8/100))</f>
        <v>119866.87707507469</v>
      </c>
      <c r="AW8" s="8">
        <f t="shared" ref="AW8:AW13" si="49">AQ8-AV8</f>
        <v>-37453.975250041243</v>
      </c>
      <c r="AX8" s="8">
        <f>AE75</f>
        <v>165138.45632557751</v>
      </c>
      <c r="AY8" s="8">
        <f t="shared" si="40"/>
        <v>-37453.975250041243</v>
      </c>
      <c r="AZ8" s="8">
        <f t="shared" si="41"/>
        <v>30279.830544381526</v>
      </c>
      <c r="BA8" s="8">
        <f>AC75</f>
        <v>29214.797685424608</v>
      </c>
      <c r="BC8" s="56">
        <v>38657</v>
      </c>
      <c r="BD8" s="8">
        <f t="shared" si="0"/>
        <v>79389.845154224895</v>
      </c>
      <c r="BE8" s="8">
        <f t="shared" si="12"/>
        <v>29244.409097455995</v>
      </c>
      <c r="BF8">
        <v>0</v>
      </c>
      <c r="BH8" s="56">
        <v>38657</v>
      </c>
      <c r="BI8" s="8">
        <f t="shared" si="1"/>
        <v>35706.10000000002</v>
      </c>
      <c r="BJ8" s="8">
        <f t="shared" si="2"/>
        <v>24344.407884637752</v>
      </c>
      <c r="BK8" s="8">
        <f t="shared" si="3"/>
        <v>22739.062894184761</v>
      </c>
      <c r="BU8" s="56">
        <v>38657</v>
      </c>
      <c r="BV8" s="8">
        <f t="shared" ref="BV8:BW8" si="50">AZ10</f>
        <v>29244.409097455995</v>
      </c>
      <c r="BW8" s="8">
        <f t="shared" si="50"/>
        <v>21696.488154352457</v>
      </c>
      <c r="BX8" s="11">
        <f t="shared" si="14"/>
        <v>85.640478709903334</v>
      </c>
      <c r="BY8" s="11">
        <f t="shared" si="15"/>
        <v>-141.13754457000181</v>
      </c>
      <c r="BZ8" s="20">
        <f t="shared" si="16"/>
        <v>10.283443692422733</v>
      </c>
      <c r="CA8">
        <v>1</v>
      </c>
      <c r="CB8" s="56">
        <v>38657</v>
      </c>
      <c r="CC8" s="8">
        <f t="shared" si="4"/>
        <v>35706.10000000002</v>
      </c>
      <c r="CD8" s="8">
        <f t="shared" si="5"/>
        <v>22553.933978325756</v>
      </c>
      <c r="CE8" s="8">
        <f t="shared" si="6"/>
        <v>22843.923020410766</v>
      </c>
      <c r="CN8" s="56">
        <v>38657</v>
      </c>
      <c r="CO8" s="8">
        <f t="shared" si="17"/>
        <v>21696.488154352457</v>
      </c>
      <c r="CP8" s="11">
        <f t="shared" si="18"/>
        <v>-141.13754457000181</v>
      </c>
      <c r="CQ8" s="17">
        <f t="shared" si="19"/>
        <v>10.283443692422733</v>
      </c>
      <c r="CR8">
        <f t="shared" si="20"/>
        <v>1</v>
      </c>
      <c r="CS8">
        <v>0</v>
      </c>
      <c r="CT8" s="56">
        <v>38657</v>
      </c>
      <c r="CU8" s="8">
        <f t="shared" si="21"/>
        <v>35706.10000000002</v>
      </c>
      <c r="CV8" s="8">
        <f t="shared" si="7"/>
        <v>35706.10000000002</v>
      </c>
      <c r="CW8" s="8">
        <f t="shared" si="8"/>
        <v>35706.100000000013</v>
      </c>
      <c r="CX8" s="8">
        <f t="shared" si="22"/>
        <v>35706.100000000006</v>
      </c>
      <c r="CY8" s="8">
        <f t="shared" si="23"/>
        <v>35706.10000000002</v>
      </c>
      <c r="DW8" s="56">
        <v>38657</v>
      </c>
      <c r="DX8" s="8">
        <f t="shared" si="24"/>
        <v>21696.488154352457</v>
      </c>
      <c r="DY8" s="11">
        <f t="shared" si="25"/>
        <v>29244.409097455995</v>
      </c>
      <c r="DZ8">
        <v>1</v>
      </c>
      <c r="EA8">
        <f t="shared" si="27"/>
        <v>0</v>
      </c>
      <c r="EB8" s="11">
        <f t="shared" si="9"/>
        <v>-141.13754457000181</v>
      </c>
      <c r="EC8" s="56">
        <v>38657</v>
      </c>
      <c r="ED8" s="8">
        <f t="shared" si="28"/>
        <v>35706.10000000002</v>
      </c>
      <c r="EE8" s="8">
        <f t="shared" si="29"/>
        <v>35706.10000000002</v>
      </c>
      <c r="EF8" s="8">
        <f t="shared" si="30"/>
        <v>35706.100000000013</v>
      </c>
      <c r="EG8" s="8">
        <f t="shared" si="31"/>
        <v>35706.10000000002</v>
      </c>
      <c r="EH8" s="8">
        <f t="shared" si="32"/>
        <v>17145.821513804447</v>
      </c>
      <c r="EI8" s="8">
        <f t="shared" si="33"/>
        <v>35706.100000000028</v>
      </c>
    </row>
    <row r="9" spans="1:139" x14ac:dyDescent="0.25">
      <c r="A9" s="38">
        <v>2005</v>
      </c>
      <c r="B9" s="11">
        <v>24.014527845036319</v>
      </c>
      <c r="C9" s="11">
        <v>14.537530266343826</v>
      </c>
      <c r="D9" s="11">
        <v>19.748184019370459</v>
      </c>
      <c r="E9" s="11">
        <v>0.61501210653753025</v>
      </c>
      <c r="F9" s="11">
        <v>34.581113801452787</v>
      </c>
      <c r="G9" s="11">
        <v>129.64406779661016</v>
      </c>
      <c r="H9" s="11">
        <v>8.7138014751831498</v>
      </c>
      <c r="I9" s="11">
        <v>8.6973365813710206</v>
      </c>
      <c r="J9" s="11">
        <v>17.557142858066513</v>
      </c>
      <c r="K9" s="11">
        <v>66.762227711896927</v>
      </c>
      <c r="L9" s="11">
        <v>99.15157373534565</v>
      </c>
      <c r="M9" s="11">
        <v>67.752300354816725</v>
      </c>
      <c r="N9" s="11">
        <v>491.77481855203104</v>
      </c>
      <c r="O9" s="11">
        <f t="shared" si="34"/>
        <v>265.95569022458051</v>
      </c>
      <c r="P9" s="11">
        <f t="shared" si="35"/>
        <v>58.300242130750604</v>
      </c>
      <c r="Q9" s="11">
        <f t="shared" si="36"/>
        <v>370.571670756213</v>
      </c>
      <c r="R9" s="56">
        <v>35947</v>
      </c>
      <c r="S9" s="8">
        <v>56.832071661949172</v>
      </c>
      <c r="T9" s="8">
        <v>4544.5497400760669</v>
      </c>
      <c r="U9" s="8">
        <v>0</v>
      </c>
      <c r="V9" s="8">
        <v>0</v>
      </c>
      <c r="W9" s="8">
        <v>0</v>
      </c>
      <c r="X9" s="8">
        <v>0</v>
      </c>
      <c r="Y9" s="8">
        <v>14.219908133149142</v>
      </c>
      <c r="Z9" s="8">
        <v>657.36613361835464</v>
      </c>
      <c r="AA9" s="8">
        <v>0</v>
      </c>
      <c r="AH9" s="56">
        <f>AB110</f>
        <v>39022</v>
      </c>
      <c r="AI9" s="8">
        <f>AD110+AC110</f>
        <v>72734.161455924987</v>
      </c>
      <c r="AJ9" s="8">
        <f>AE110</f>
        <v>97390.026148097459</v>
      </c>
      <c r="AK9" s="11">
        <f t="shared" si="10"/>
        <v>-68.745235699378696</v>
      </c>
      <c r="AL9" s="11">
        <f t="shared" si="11"/>
        <v>4.2300099652982226</v>
      </c>
      <c r="AM9" s="56">
        <v>39022</v>
      </c>
      <c r="AN9" s="8">
        <v>19666.14</v>
      </c>
      <c r="AP9">
        <v>2004</v>
      </c>
      <c r="AQ9" s="8">
        <f t="shared" si="45"/>
        <v>208914.98869304021</v>
      </c>
      <c r="AR9" s="11">
        <f t="shared" si="38"/>
        <v>302.36077481840198</v>
      </c>
      <c r="AS9" s="11">
        <f t="shared" si="39"/>
        <v>-40.435805128918844</v>
      </c>
      <c r="AT9" s="8">
        <f t="shared" si="46"/>
        <v>43319.66</v>
      </c>
      <c r="AU9" s="8">
        <f t="shared" si="47"/>
        <v>389876.94000000006</v>
      </c>
      <c r="AV9" s="8">
        <f t="shared" si="48"/>
        <v>407393.59330011025</v>
      </c>
      <c r="AW9" s="8">
        <f t="shared" si="49"/>
        <v>-198478.60460707004</v>
      </c>
      <c r="AX9" s="8">
        <f>AE87</f>
        <v>86898.401441586655</v>
      </c>
      <c r="AY9" s="8">
        <f t="shared" si="40"/>
        <v>-86898.401441586655</v>
      </c>
      <c r="AZ9" s="8">
        <f t="shared" si="41"/>
        <v>141509.33170987066</v>
      </c>
      <c r="BA9" s="8">
        <f>AC87</f>
        <v>12369.963382279871</v>
      </c>
      <c r="BC9" s="56">
        <v>39022</v>
      </c>
      <c r="BD9" s="8">
        <f t="shared" si="0"/>
        <v>72734.161455924987</v>
      </c>
      <c r="BE9" s="8">
        <f t="shared" si="12"/>
        <v>32.789000370918075</v>
      </c>
      <c r="BF9">
        <v>0</v>
      </c>
      <c r="BH9" s="56">
        <v>39022</v>
      </c>
      <c r="BI9" s="8">
        <f t="shared" si="1"/>
        <v>19666.14</v>
      </c>
      <c r="BJ9" s="8">
        <f t="shared" si="2"/>
        <v>20628.817851871579</v>
      </c>
      <c r="BK9" s="8">
        <f t="shared" si="3"/>
        <v>19129.780040391794</v>
      </c>
      <c r="BU9" s="56">
        <v>39022</v>
      </c>
      <c r="BV9" s="8">
        <f t="shared" ref="BV9:BW9" si="51">AZ11</f>
        <v>32.789000370918075</v>
      </c>
      <c r="BW9" s="8">
        <f t="shared" si="51"/>
        <v>28453.584301879637</v>
      </c>
      <c r="BX9" s="11">
        <f t="shared" si="14"/>
        <v>-68.745235699378696</v>
      </c>
      <c r="BY9" s="11">
        <f t="shared" si="15"/>
        <v>4.2300099652982226</v>
      </c>
      <c r="BZ9" s="20">
        <f t="shared" si="16"/>
        <v>3.4900931046010073</v>
      </c>
      <c r="CA9">
        <v>0</v>
      </c>
      <c r="CB9" s="56">
        <v>39022</v>
      </c>
      <c r="CC9" s="8">
        <f t="shared" si="4"/>
        <v>19666.14</v>
      </c>
      <c r="CD9" s="8">
        <f t="shared" si="5"/>
        <v>11449.825793175725</v>
      </c>
      <c r="CE9" s="8">
        <f t="shared" si="6"/>
        <v>11131.815163122821</v>
      </c>
      <c r="CN9" s="56">
        <v>39022</v>
      </c>
      <c r="CO9" s="8">
        <f t="shared" si="17"/>
        <v>28453.584301879637</v>
      </c>
      <c r="CP9" s="11">
        <f t="shared" si="18"/>
        <v>4.2300099652982226</v>
      </c>
      <c r="CQ9" s="17">
        <f t="shared" si="19"/>
        <v>3.4900931046010073</v>
      </c>
      <c r="CR9">
        <f t="shared" si="20"/>
        <v>0</v>
      </c>
      <c r="CS9">
        <v>0</v>
      </c>
      <c r="CT9" s="56">
        <v>39022</v>
      </c>
      <c r="CU9" s="8">
        <f t="shared" si="21"/>
        <v>19666.14</v>
      </c>
      <c r="CV9" s="8">
        <f t="shared" si="7"/>
        <v>21935.606010369789</v>
      </c>
      <c r="CW9" s="8">
        <f t="shared" si="8"/>
        <v>21095.558216102068</v>
      </c>
      <c r="CX9" s="8">
        <f t="shared" si="22"/>
        <v>15842.824428432683</v>
      </c>
      <c r="CY9" s="8">
        <f t="shared" si="23"/>
        <v>16326.603588984945</v>
      </c>
      <c r="DW9" s="56">
        <v>39022</v>
      </c>
      <c r="DX9" s="8">
        <f t="shared" si="24"/>
        <v>28453.584301879637</v>
      </c>
      <c r="DY9" s="11">
        <f t="shared" si="25"/>
        <v>32.789000370918075</v>
      </c>
      <c r="DZ9">
        <f t="shared" si="26"/>
        <v>0</v>
      </c>
      <c r="EA9">
        <f t="shared" si="27"/>
        <v>0</v>
      </c>
      <c r="EB9" s="11">
        <f t="shared" si="9"/>
        <v>4.2300099652982226</v>
      </c>
      <c r="EC9" s="56">
        <v>39022</v>
      </c>
      <c r="ED9" s="8">
        <f t="shared" si="28"/>
        <v>19666.14</v>
      </c>
      <c r="EE9" s="8">
        <f t="shared" si="29"/>
        <v>15494.140258475309</v>
      </c>
      <c r="EF9" s="8">
        <f t="shared" si="30"/>
        <v>15475.06707662342</v>
      </c>
      <c r="EG9" s="8">
        <f t="shared" si="31"/>
        <v>17854.533487739169</v>
      </c>
      <c r="EH9" s="8">
        <f t="shared" si="32"/>
        <v>18315.056323450972</v>
      </c>
      <c r="EI9" s="8">
        <f t="shared" si="33"/>
        <v>18816.599740856866</v>
      </c>
    </row>
    <row r="10" spans="1:139" x14ac:dyDescent="0.25">
      <c r="A10" s="38">
        <v>2006</v>
      </c>
      <c r="B10" s="11">
        <v>91.836803935053268</v>
      </c>
      <c r="C10" s="11">
        <v>87.63946729941749</v>
      </c>
      <c r="D10" s="11">
        <v>24.191525431579887</v>
      </c>
      <c r="E10" s="11">
        <v>20.636077536797696</v>
      </c>
      <c r="F10" s="11">
        <v>5.7174334142167691</v>
      </c>
      <c r="G10" s="11">
        <v>20.323486722987731</v>
      </c>
      <c r="H10" s="11">
        <v>44.5004842264023</v>
      </c>
      <c r="I10" s="11">
        <v>5.1443099219342985</v>
      </c>
      <c r="J10" s="11">
        <v>32.717191308231676</v>
      </c>
      <c r="K10" s="11">
        <v>3.1670702215257047</v>
      </c>
      <c r="L10" s="11">
        <v>45.523728867131339</v>
      </c>
      <c r="M10" s="11">
        <v>13.558595638875522</v>
      </c>
      <c r="N10" s="11">
        <v>394.95617452415371</v>
      </c>
      <c r="O10" s="11">
        <f t="shared" si="34"/>
        <v>111.56997581529848</v>
      </c>
      <c r="P10" s="11">
        <f t="shared" si="35"/>
        <v>203.66779666605063</v>
      </c>
      <c r="Q10" s="11">
        <f t="shared" si="36"/>
        <v>149.36924938543658</v>
      </c>
      <c r="R10" s="56">
        <v>35977</v>
      </c>
      <c r="S10" s="8">
        <v>0</v>
      </c>
      <c r="T10" s="8">
        <v>46176.871974945097</v>
      </c>
      <c r="U10" s="8">
        <v>3963.9099998474126</v>
      </c>
      <c r="V10" s="8">
        <v>0</v>
      </c>
      <c r="W10" s="8">
        <v>44964.75314235688</v>
      </c>
      <c r="X10" s="8">
        <v>2340</v>
      </c>
      <c r="Y10" s="8">
        <v>5.9017987374216325</v>
      </c>
      <c r="Z10" s="8">
        <v>7066.1703859707595</v>
      </c>
      <c r="AA10" s="8">
        <v>3807.3653320312501</v>
      </c>
      <c r="AH10" s="56">
        <f>AB122</f>
        <v>39387</v>
      </c>
      <c r="AI10" s="8">
        <f>AD122+AC122</f>
        <v>59289.809043728594</v>
      </c>
      <c r="AJ10" s="8">
        <f>AE122</f>
        <v>60092.155885661035</v>
      </c>
      <c r="AK10" s="11">
        <f t="shared" si="10"/>
        <v>-6.1280444682433597</v>
      </c>
      <c r="AL10" s="11">
        <f t="shared" si="11"/>
        <v>-109.15086182132271</v>
      </c>
      <c r="AM10" s="56">
        <v>39387</v>
      </c>
      <c r="AN10" s="8">
        <v>5798.8200000000006</v>
      </c>
      <c r="AP10">
        <v>2005</v>
      </c>
      <c r="AQ10" s="8">
        <f t="shared" si="45"/>
        <v>108634.25425168088</v>
      </c>
      <c r="AR10" s="11">
        <f t="shared" si="38"/>
        <v>370.571670756213</v>
      </c>
      <c r="AS10" s="11">
        <f t="shared" si="39"/>
        <v>27.775090808892173</v>
      </c>
      <c r="AT10" s="8">
        <f t="shared" si="46"/>
        <v>35706.10000000002</v>
      </c>
      <c r="AU10" s="8">
        <f t="shared" si="47"/>
        <v>321354.9000000002</v>
      </c>
      <c r="AV10" s="8">
        <f t="shared" si="48"/>
        <v>311437.49830068636</v>
      </c>
      <c r="AW10" s="8">
        <f t="shared" si="49"/>
        <v>-202803.2440490055</v>
      </c>
      <c r="AX10" s="8">
        <f>AE99</f>
        <v>97357.237147726541</v>
      </c>
      <c r="AY10" s="8">
        <f t="shared" si="40"/>
        <v>-97357.237147726541</v>
      </c>
      <c r="AZ10" s="8">
        <f t="shared" si="41"/>
        <v>29244.409097455995</v>
      </c>
      <c r="BA10" s="8">
        <f>AC99</f>
        <v>21696.488154352457</v>
      </c>
      <c r="BC10" s="56">
        <v>39387</v>
      </c>
      <c r="BD10" s="8">
        <f t="shared" si="0"/>
        <v>59289.809043728594</v>
      </c>
      <c r="BE10" s="8">
        <f t="shared" si="12"/>
        <v>40660.417656179532</v>
      </c>
      <c r="BF10">
        <v>0</v>
      </c>
      <c r="BH10" s="56">
        <v>39387</v>
      </c>
      <c r="BI10" s="8">
        <f t="shared" si="1"/>
        <v>5798.8200000000006</v>
      </c>
      <c r="BJ10" s="8">
        <f t="shared" si="2"/>
        <v>19358.64214168816</v>
      </c>
      <c r="BK10" s="8">
        <f t="shared" si="3"/>
        <v>18179.6282991997</v>
      </c>
      <c r="BU10" s="56">
        <v>39387</v>
      </c>
      <c r="BV10" s="8">
        <f t="shared" ref="BV10:BW10" si="52">AZ12</f>
        <v>40660.417656179532</v>
      </c>
      <c r="BW10" s="8">
        <f t="shared" si="52"/>
        <v>29310.892718965311</v>
      </c>
      <c r="BX10" s="11">
        <f t="shared" si="14"/>
        <v>-6.1280444682433597</v>
      </c>
      <c r="BY10" s="11">
        <f t="shared" si="15"/>
        <v>-109.15086182132271</v>
      </c>
      <c r="BZ10" s="20">
        <f t="shared" si="16"/>
        <v>10.613010359047426</v>
      </c>
      <c r="CA10">
        <v>0</v>
      </c>
      <c r="CB10" s="56">
        <v>39387</v>
      </c>
      <c r="CC10" s="8">
        <f t="shared" si="4"/>
        <v>5798.8200000000006</v>
      </c>
      <c r="CD10" s="8">
        <f t="shared" si="5"/>
        <v>10241.791236919267</v>
      </c>
      <c r="CE10" s="8">
        <f t="shared" si="6"/>
        <v>13215.661172228571</v>
      </c>
      <c r="CN10" s="56">
        <v>39387</v>
      </c>
      <c r="CO10" s="8">
        <f t="shared" si="17"/>
        <v>29310.892718965311</v>
      </c>
      <c r="CP10" s="11">
        <f t="shared" si="18"/>
        <v>-109.15086182132271</v>
      </c>
      <c r="CQ10" s="17">
        <f t="shared" si="19"/>
        <v>10.613010359047426</v>
      </c>
      <c r="CR10">
        <f t="shared" si="20"/>
        <v>0</v>
      </c>
      <c r="CS10">
        <v>0</v>
      </c>
      <c r="CT10" s="56">
        <v>39387</v>
      </c>
      <c r="CU10" s="8">
        <f t="shared" si="21"/>
        <v>5798.8200000000006</v>
      </c>
      <c r="CV10" s="8">
        <f t="shared" si="7"/>
        <v>2024.7457569016879</v>
      </c>
      <c r="CW10" s="8">
        <f t="shared" si="8"/>
        <v>4472.8194261905028</v>
      </c>
      <c r="CX10" s="8">
        <f t="shared" si="22"/>
        <v>19322.105953756494</v>
      </c>
      <c r="CY10" s="8">
        <f t="shared" si="23"/>
        <v>15702.941072733107</v>
      </c>
      <c r="DW10" s="56">
        <v>39387</v>
      </c>
      <c r="DX10" s="8">
        <f t="shared" si="24"/>
        <v>29310.892718965311</v>
      </c>
      <c r="DY10" s="11">
        <f t="shared" si="25"/>
        <v>40660.417656179532</v>
      </c>
      <c r="DZ10">
        <f t="shared" si="26"/>
        <v>0</v>
      </c>
      <c r="EA10">
        <f t="shared" si="27"/>
        <v>0</v>
      </c>
      <c r="EB10" s="11">
        <f t="shared" si="9"/>
        <v>-109.15086182132271</v>
      </c>
      <c r="EC10" s="56">
        <v>39387</v>
      </c>
      <c r="ED10" s="8">
        <f t="shared" si="28"/>
        <v>5798.8200000000006</v>
      </c>
      <c r="EE10" s="8">
        <f t="shared" si="29"/>
        <v>5481.6174718665934</v>
      </c>
      <c r="EF10" s="8">
        <f t="shared" si="30"/>
        <v>20366.393668051838</v>
      </c>
      <c r="EG10" s="8">
        <f t="shared" si="31"/>
        <v>22817.907459639773</v>
      </c>
      <c r="EH10" s="8">
        <f t="shared" si="32"/>
        <v>23288.617640028107</v>
      </c>
      <c r="EI10" s="8">
        <f t="shared" si="33"/>
        <v>414.55941356325638</v>
      </c>
    </row>
    <row r="11" spans="1:139" x14ac:dyDescent="0.25">
      <c r="A11" s="38">
        <v>2007</v>
      </c>
      <c r="B11" s="11">
        <v>24.284019377849294</v>
      </c>
      <c r="C11" s="11">
        <v>39.156174299503355</v>
      </c>
      <c r="D11" s="11">
        <v>26.846731202077056</v>
      </c>
      <c r="E11" s="11">
        <v>22.165133150668755</v>
      </c>
      <c r="F11" s="11">
        <v>13.166343842522572</v>
      </c>
      <c r="G11" s="11">
        <v>59.137772326896609</v>
      </c>
      <c r="H11" s="11">
        <v>0.69491525423728817</v>
      </c>
      <c r="I11" s="11">
        <v>41.33341407314051</v>
      </c>
      <c r="J11" s="11">
        <v>3.5593220338983049</v>
      </c>
      <c r="K11" s="11">
        <v>56.295399515738502</v>
      </c>
      <c r="L11" s="11">
        <v>74.167070217917669</v>
      </c>
      <c r="M11" s="11">
        <v>88.13801452784503</v>
      </c>
      <c r="N11" s="11">
        <v>448.944309822295</v>
      </c>
      <c r="O11" s="11">
        <f t="shared" si="34"/>
        <v>174.18716704643381</v>
      </c>
      <c r="P11" s="11">
        <f t="shared" si="35"/>
        <v>90.286924879429705</v>
      </c>
      <c r="Q11" s="11">
        <f t="shared" si="36"/>
        <v>339.38983050847457</v>
      </c>
      <c r="R11" s="56">
        <v>36008</v>
      </c>
      <c r="S11" s="8">
        <v>0</v>
      </c>
      <c r="T11" s="8">
        <v>18488.185086727142</v>
      </c>
      <c r="U11" s="8">
        <v>4661.687744140625</v>
      </c>
      <c r="V11" s="8">
        <v>0</v>
      </c>
      <c r="W11" s="8">
        <v>3350.2760467529297</v>
      </c>
      <c r="X11" s="8">
        <v>1954.408203125</v>
      </c>
      <c r="Y11" s="8">
        <v>0.74594039767980624</v>
      </c>
      <c r="Z11" s="8">
        <v>2837.0350044251436</v>
      </c>
      <c r="AA11" s="8">
        <v>35.406054687500003</v>
      </c>
      <c r="AH11" s="56">
        <f>AB134</f>
        <v>39753</v>
      </c>
      <c r="AI11" s="8">
        <f>AD134+AC134</f>
        <v>42943.354935608862</v>
      </c>
      <c r="AJ11" s="8">
        <f>AE134</f>
        <v>128143.44315911751</v>
      </c>
      <c r="AK11" s="11">
        <f>O12-$O$21</f>
        <v>-3.5558894284768598</v>
      </c>
      <c r="AL11" s="11">
        <f t="shared" si="11"/>
        <v>-22.35304093804055</v>
      </c>
      <c r="AM11" s="56">
        <v>39753</v>
      </c>
      <c r="AN11" s="8">
        <v>10417.630000000001</v>
      </c>
      <c r="AP11">
        <v>2006</v>
      </c>
      <c r="AQ11" s="8">
        <f t="shared" si="45"/>
        <v>72766.950456295905</v>
      </c>
      <c r="AR11" s="11">
        <f t="shared" si="38"/>
        <v>149.36924938543658</v>
      </c>
      <c r="AS11" s="11">
        <f t="shared" si="39"/>
        <v>-193.42733056188425</v>
      </c>
      <c r="AT11" s="8">
        <f t="shared" si="46"/>
        <v>19666.14</v>
      </c>
      <c r="AU11" s="8">
        <f t="shared" si="47"/>
        <v>176995.26</v>
      </c>
      <c r="AV11" s="8">
        <f t="shared" si="48"/>
        <v>215034.94962656294</v>
      </c>
      <c r="AW11" s="8">
        <f t="shared" si="49"/>
        <v>-142267.99917026702</v>
      </c>
      <c r="AX11" s="8">
        <f>AE111</f>
        <v>19431.738229481503</v>
      </c>
      <c r="AY11" s="8">
        <f t="shared" si="40"/>
        <v>-19431.738229481503</v>
      </c>
      <c r="AZ11" s="8">
        <f t="shared" si="41"/>
        <v>32.789000370918075</v>
      </c>
      <c r="BA11" s="8">
        <f>AC111</f>
        <v>28453.584301879637</v>
      </c>
      <c r="BC11" s="56">
        <v>39753</v>
      </c>
      <c r="BD11" s="8">
        <f t="shared" si="0"/>
        <v>42943.354935608862</v>
      </c>
      <c r="BE11" s="8">
        <f t="shared" si="12"/>
        <v>175706.73859121592</v>
      </c>
      <c r="BF11">
        <v>0</v>
      </c>
      <c r="BH11" s="56">
        <v>39753</v>
      </c>
      <c r="BI11" s="8">
        <f t="shared" si="1"/>
        <v>10417.630000000001</v>
      </c>
      <c r="BJ11" s="8">
        <f t="shared" si="2"/>
        <v>23174.286792340383</v>
      </c>
      <c r="BK11" s="8">
        <f t="shared" si="3"/>
        <v>22474.883938748484</v>
      </c>
      <c r="BU11" s="56">
        <v>39753</v>
      </c>
      <c r="BV11" s="8">
        <f t="shared" ref="BV11:BW11" si="53">AZ13</f>
        <v>175706.73859121592</v>
      </c>
      <c r="BW11" s="8">
        <f t="shared" si="53"/>
        <v>15468.022906984066</v>
      </c>
      <c r="BX11" s="11">
        <f t="shared" si="14"/>
        <v>-3.5558894284768598</v>
      </c>
      <c r="BY11" s="11">
        <f t="shared" si="15"/>
        <v>-22.35304093804055</v>
      </c>
      <c r="BZ11" s="20">
        <f t="shared" si="16"/>
        <v>12.076571626263961</v>
      </c>
      <c r="CA11">
        <v>0</v>
      </c>
      <c r="CB11" s="56">
        <v>39753</v>
      </c>
      <c r="CC11" s="8">
        <f t="shared" si="4"/>
        <v>10417.630000000001</v>
      </c>
      <c r="CD11" s="8">
        <f t="shared" si="5"/>
        <v>11484.59935534304</v>
      </c>
      <c r="CE11" s="8">
        <f t="shared" si="6"/>
        <v>17341.650504577083</v>
      </c>
      <c r="CN11" s="56">
        <v>39753</v>
      </c>
      <c r="CO11" s="8">
        <f t="shared" si="17"/>
        <v>15468.022906984066</v>
      </c>
      <c r="CP11" s="11">
        <f t="shared" si="18"/>
        <v>-22.35304093804055</v>
      </c>
      <c r="CQ11" s="17">
        <f t="shared" si="19"/>
        <v>12.076571626263961</v>
      </c>
      <c r="CR11">
        <f t="shared" si="20"/>
        <v>0</v>
      </c>
      <c r="CS11">
        <v>1</v>
      </c>
      <c r="CT11" s="56">
        <v>39753</v>
      </c>
      <c r="CU11" s="8">
        <f t="shared" si="21"/>
        <v>10417.630000000001</v>
      </c>
      <c r="CV11" s="8">
        <f t="shared" si="7"/>
        <v>15185.84176120803</v>
      </c>
      <c r="CW11" s="8">
        <f t="shared" si="8"/>
        <v>10417.629999999996</v>
      </c>
      <c r="CX11" s="8">
        <f t="shared" si="22"/>
        <v>10417.629999999994</v>
      </c>
      <c r="CY11" s="8">
        <f t="shared" si="23"/>
        <v>27619.968979027675</v>
      </c>
      <c r="DW11" s="56">
        <v>39753</v>
      </c>
      <c r="DX11" s="8">
        <f t="shared" si="24"/>
        <v>15468.022906984066</v>
      </c>
      <c r="DY11" s="11">
        <f t="shared" si="25"/>
        <v>175706.73859121592</v>
      </c>
      <c r="DZ11">
        <f t="shared" si="26"/>
        <v>0</v>
      </c>
      <c r="EA11">
        <v>0</v>
      </c>
      <c r="EB11" s="11">
        <f t="shared" si="9"/>
        <v>-22.35304093804055</v>
      </c>
      <c r="EC11" s="56">
        <v>39753</v>
      </c>
      <c r="ED11" s="8">
        <f t="shared" si="28"/>
        <v>10417.630000000001</v>
      </c>
      <c r="EE11" s="8">
        <f t="shared" si="29"/>
        <v>21817.805373630097</v>
      </c>
      <c r="EF11" s="8">
        <f t="shared" si="30"/>
        <v>27548.673788351232</v>
      </c>
      <c r="EG11" s="8">
        <f t="shared" si="31"/>
        <v>28843.736879100543</v>
      </c>
      <c r="EH11" s="8">
        <f t="shared" si="32"/>
        <v>29078.137984043089</v>
      </c>
      <c r="EI11" s="8">
        <f t="shared" si="33"/>
        <v>19818.429860813776</v>
      </c>
    </row>
    <row r="12" spans="1:139" x14ac:dyDescent="0.25">
      <c r="A12" s="38">
        <v>2008</v>
      </c>
      <c r="B12" s="11">
        <v>54.44309927360775</v>
      </c>
      <c r="C12" s="11">
        <v>120.58111380145279</v>
      </c>
      <c r="D12" s="11">
        <v>2.0605326876513317</v>
      </c>
      <c r="E12" s="11">
        <v>7.4019370460048428</v>
      </c>
      <c r="F12" s="11">
        <v>5.9927360774818403</v>
      </c>
      <c r="G12" s="11">
        <v>40.043583535108958</v>
      </c>
      <c r="H12" s="11">
        <v>39.616949155313343</v>
      </c>
      <c r="I12" s="11">
        <v>7.46440677954556</v>
      </c>
      <c r="J12" s="11">
        <v>70.050605367517349</v>
      </c>
      <c r="K12" s="11">
        <v>13.591041171233243</v>
      </c>
      <c r="L12" s="11">
        <v>119.18014535603743</v>
      </c>
      <c r="M12" s="11">
        <v>64.628571304801596</v>
      </c>
      <c r="N12" s="11">
        <v>545.05472155575603</v>
      </c>
      <c r="O12" s="11">
        <f t="shared" si="34"/>
        <v>176.75932208620031</v>
      </c>
      <c r="P12" s="11">
        <f t="shared" si="35"/>
        <v>177.08474576271186</v>
      </c>
      <c r="Q12" s="11">
        <f t="shared" si="36"/>
        <v>355.19733631668601</v>
      </c>
      <c r="R12" s="56">
        <v>36039</v>
      </c>
      <c r="S12" s="8">
        <v>0</v>
      </c>
      <c r="T12" s="8">
        <v>4767.6280963420859</v>
      </c>
      <c r="U12" s="8">
        <v>639.79931640625</v>
      </c>
      <c r="V12" s="8">
        <v>0</v>
      </c>
      <c r="W12" s="8">
        <v>0</v>
      </c>
      <c r="X12" s="8">
        <v>0</v>
      </c>
      <c r="Y12" s="8">
        <v>72.358164429664626</v>
      </c>
      <c r="Z12" s="8">
        <v>484.46235351562603</v>
      </c>
      <c r="AA12" s="8">
        <v>841.37197265625002</v>
      </c>
      <c r="AH12" s="56">
        <v>40118</v>
      </c>
      <c r="AI12" s="8">
        <f>AD146+AC146</f>
        <v>48759.92530831122</v>
      </c>
      <c r="AJ12" s="8">
        <f>AE146</f>
        <v>134064.0854334688</v>
      </c>
      <c r="AK12" s="11">
        <f t="shared" ref="AK12:AK16" si="54">O13-$O$21</f>
        <v>-34.595114611344968</v>
      </c>
      <c r="AL12" s="11">
        <f t="shared" ref="AL12:AL16" si="55">P13-$P$21</f>
        <v>-28.049167044905431</v>
      </c>
      <c r="AM12" s="56">
        <v>40118</v>
      </c>
      <c r="AN12" s="8">
        <v>23085.940000000017</v>
      </c>
      <c r="AP12">
        <v>2007</v>
      </c>
      <c r="AQ12" s="8">
        <f t="shared" si="45"/>
        <v>99950.226699908118</v>
      </c>
      <c r="AR12" s="11">
        <f t="shared" si="38"/>
        <v>339.38983050847457</v>
      </c>
      <c r="AS12" s="11">
        <f t="shared" si="39"/>
        <v>-3.4067494388462478</v>
      </c>
      <c r="AT12" s="8">
        <f t="shared" si="46"/>
        <v>5798.8200000000006</v>
      </c>
      <c r="AU12" s="8">
        <f t="shared" si="47"/>
        <v>52189.380000000005</v>
      </c>
      <c r="AV12" s="8">
        <f t="shared" si="48"/>
        <v>52386.931267809712</v>
      </c>
      <c r="AW12" s="8">
        <f t="shared" si="49"/>
        <v>47563.295432098406</v>
      </c>
      <c r="AX12" s="8">
        <f>AE123</f>
        <v>124773.8901128329</v>
      </c>
      <c r="AY12" s="8">
        <f t="shared" si="40"/>
        <v>47563.295432098406</v>
      </c>
      <c r="AZ12" s="8">
        <f t="shared" si="41"/>
        <v>40660.417656179532</v>
      </c>
      <c r="BA12" s="8">
        <f>AC123</f>
        <v>29310.892718965311</v>
      </c>
      <c r="BC12" s="56">
        <v>40118</v>
      </c>
      <c r="BH12" s="56">
        <v>40118</v>
      </c>
      <c r="BU12" s="56">
        <v>40118</v>
      </c>
      <c r="BV12" s="8">
        <f t="shared" ref="BV12:BV16" si="56">AZ14</f>
        <v>260247.37387605547</v>
      </c>
      <c r="BW12" s="8">
        <f t="shared" ref="BW12:BW16" si="57">BA14</f>
        <v>22270.814600996535</v>
      </c>
      <c r="BX12" s="11">
        <f t="shared" ref="BX12:BX16" si="58">O13-$O$21</f>
        <v>-34.595114611344968</v>
      </c>
      <c r="BY12" s="11">
        <f t="shared" ref="BY12:BY16" si="59">P13-$P$21</f>
        <v>-28.049167044905431</v>
      </c>
      <c r="BZ12" s="20">
        <f t="shared" ref="BZ12:BZ16" si="60">LN(BV12)</f>
        <v>12.469387895652261</v>
      </c>
      <c r="CA12">
        <v>0</v>
      </c>
      <c r="CB12" s="56">
        <v>40118</v>
      </c>
      <c r="CN12" s="56">
        <v>40118</v>
      </c>
      <c r="CO12" s="8">
        <f t="shared" ref="CO12:CO16" si="61">BW12</f>
        <v>22270.814600996535</v>
      </c>
      <c r="CP12" s="11">
        <f t="shared" ref="CP12:CP16" si="62">BY12</f>
        <v>-28.049167044905431</v>
      </c>
      <c r="CQ12" s="17">
        <f t="shared" si="19"/>
        <v>12.469387895652261</v>
      </c>
      <c r="CR12">
        <f t="shared" ref="CR12:CR16" si="63">CA12</f>
        <v>0</v>
      </c>
      <c r="CS12">
        <v>0</v>
      </c>
      <c r="CT12" s="56">
        <v>40118</v>
      </c>
      <c r="CU12" s="8">
        <f t="shared" si="21"/>
        <v>23085.940000000017</v>
      </c>
      <c r="CV12" s="8">
        <f t="shared" ref="CV12:CV16" si="64">($CR$19*CO12)+($CQ$19*CP12)+($CP$19*CQ12)+($CO$19*CR12)</f>
        <v>18449.974256045829</v>
      </c>
      <c r="CW12" s="8">
        <f t="shared" ref="CW12:CW16" si="65">($CS$25*CO12)+($CR$25*CP12)+($CQ$25*CQ12)+($CP$25*CR12)+($CO$25*CS12)</f>
        <v>20935.837411256551</v>
      </c>
      <c r="CX12" s="8">
        <f t="shared" si="22"/>
        <v>33122.438003061696</v>
      </c>
      <c r="CY12" s="8">
        <f t="shared" si="23"/>
        <v>29578.997903858672</v>
      </c>
      <c r="DW12" s="56">
        <v>40118</v>
      </c>
      <c r="DX12" s="8">
        <f t="shared" si="24"/>
        <v>22270.814600996535</v>
      </c>
      <c r="DY12" s="11">
        <f t="shared" si="25"/>
        <v>260247.37387605547</v>
      </c>
      <c r="DZ12">
        <f t="shared" si="26"/>
        <v>0</v>
      </c>
      <c r="EA12">
        <v>0</v>
      </c>
      <c r="EB12" s="11">
        <f t="shared" si="9"/>
        <v>-28.049167044905431</v>
      </c>
      <c r="EC12" s="56">
        <v>40118</v>
      </c>
      <c r="ED12" s="8">
        <f t="shared" si="28"/>
        <v>23085.940000000017</v>
      </c>
      <c r="EE12" s="8">
        <f t="shared" si="29"/>
        <v>32616.223582746119</v>
      </c>
      <c r="EF12" s="8">
        <f t="shared" si="30"/>
        <v>40455.840899146875</v>
      </c>
      <c r="EG12" s="8">
        <f t="shared" si="31"/>
        <v>42320.532275819853</v>
      </c>
      <c r="EH12" s="8">
        <f t="shared" si="32"/>
        <v>42657.362734970877</v>
      </c>
      <c r="EI12" s="8">
        <f t="shared" si="33"/>
        <v>29943.962956210551</v>
      </c>
    </row>
    <row r="13" spans="1:139" x14ac:dyDescent="0.25">
      <c r="A13" s="38">
        <v>2009</v>
      </c>
      <c r="B13" s="11">
        <v>50.533414014026562</v>
      </c>
      <c r="C13" s="11">
        <v>112.87990296666328</v>
      </c>
      <c r="D13" s="11">
        <v>7.9753026751571356</v>
      </c>
      <c r="E13" s="11">
        <v>30.211380083393532</v>
      </c>
      <c r="F13" s="11">
        <v>71.496610091904458</v>
      </c>
      <c r="G13" s="11">
        <v>27.405811208212345</v>
      </c>
      <c r="H13" s="11">
        <v>9.8232445347395707</v>
      </c>
      <c r="I13" s="11">
        <v>2.2089588370796553</v>
      </c>
      <c r="J13" s="11">
        <v>20.572397155854084</v>
      </c>
      <c r="K13" s="11">
        <v>14.21307507554209</v>
      </c>
      <c r="L13" s="11">
        <v>36.935593277143795</v>
      </c>
      <c r="M13" s="11">
        <v>85.619612603730204</v>
      </c>
      <c r="N13" s="11">
        <v>469.87530252344669</v>
      </c>
      <c r="O13" s="11">
        <f t="shared" si="34"/>
        <v>145.72009690333221</v>
      </c>
      <c r="P13" s="11">
        <f t="shared" si="35"/>
        <v>171.38861965584698</v>
      </c>
      <c r="Q13" s="11">
        <f t="shared" si="36"/>
        <v>367.76949165981563</v>
      </c>
      <c r="R13" s="56">
        <v>36069</v>
      </c>
      <c r="S13" s="8">
        <v>0</v>
      </c>
      <c r="T13" s="8">
        <v>1768.9313497543335</v>
      </c>
      <c r="U13" s="8">
        <v>58.925171017646782</v>
      </c>
      <c r="V13" s="8">
        <v>2422.2351989746144</v>
      </c>
      <c r="W13" s="8">
        <v>4330.9426304250956</v>
      </c>
      <c r="X13" s="8">
        <v>0</v>
      </c>
      <c r="Y13" s="8">
        <v>179.15842190980914</v>
      </c>
      <c r="Z13" s="8">
        <v>169.04980042434781</v>
      </c>
      <c r="AA13" s="8">
        <v>0</v>
      </c>
      <c r="AH13" s="56">
        <v>40483</v>
      </c>
      <c r="AI13" s="8">
        <f>AD158+AC158</f>
        <v>29491.982031503328</v>
      </c>
      <c r="AJ13" s="8">
        <f>AE158</f>
        <v>297999.25418041402</v>
      </c>
      <c r="AK13" s="11">
        <f t="shared" si="54"/>
        <v>195.55815410922185</v>
      </c>
      <c r="AL13" s="11">
        <f t="shared" si="55"/>
        <v>45.776499078189175</v>
      </c>
      <c r="AM13" s="56">
        <v>40483</v>
      </c>
      <c r="AN13" s="8">
        <v>52955.179999999993</v>
      </c>
      <c r="AP13">
        <v>2008</v>
      </c>
      <c r="AQ13" s="8">
        <f t="shared" si="45"/>
        <v>218650.09352682478</v>
      </c>
      <c r="AR13" s="11">
        <f t="shared" si="38"/>
        <v>355.19733631668601</v>
      </c>
      <c r="AS13" s="11">
        <f t="shared" si="39"/>
        <v>12.400756369365183</v>
      </c>
      <c r="AT13" s="8">
        <f t="shared" si="46"/>
        <v>10417.630000000001</v>
      </c>
      <c r="AU13" s="8">
        <f t="shared" si="47"/>
        <v>93758.670000000013</v>
      </c>
      <c r="AV13" s="8">
        <f t="shared" si="48"/>
        <v>92466.80508423812</v>
      </c>
      <c r="AW13" s="8">
        <f t="shared" si="49"/>
        <v>126183.28844258667</v>
      </c>
      <c r="AX13" s="8">
        <f>AE135</f>
        <v>98294.108210497172</v>
      </c>
      <c r="AY13" s="8">
        <f t="shared" si="40"/>
        <v>126183.28844258667</v>
      </c>
      <c r="AZ13" s="8">
        <f t="shared" si="41"/>
        <v>175706.73859121592</v>
      </c>
      <c r="BA13" s="8">
        <f>AC135</f>
        <v>15468.022906984066</v>
      </c>
      <c r="BC13" s="56">
        <v>40483</v>
      </c>
      <c r="BH13" s="56">
        <v>40483</v>
      </c>
      <c r="BU13" s="56">
        <v>40483</v>
      </c>
      <c r="BV13" s="8">
        <f t="shared" si="56"/>
        <v>404998.32477898011</v>
      </c>
      <c r="BW13" s="8">
        <f t="shared" si="57"/>
        <v>130.47310032844547</v>
      </c>
      <c r="BX13" s="11">
        <f t="shared" si="58"/>
        <v>195.55815410922185</v>
      </c>
      <c r="BY13" s="11">
        <f t="shared" si="59"/>
        <v>45.776499078189175</v>
      </c>
      <c r="BZ13" s="20">
        <f t="shared" si="60"/>
        <v>12.911638209731924</v>
      </c>
      <c r="CA13">
        <v>0</v>
      </c>
      <c r="CB13" s="56">
        <v>40483</v>
      </c>
      <c r="CN13" s="56">
        <v>40483</v>
      </c>
      <c r="CO13" s="8">
        <f t="shared" si="61"/>
        <v>130.47310032844547</v>
      </c>
      <c r="CP13" s="11">
        <f t="shared" si="62"/>
        <v>45.776499078189175</v>
      </c>
      <c r="CQ13" s="17">
        <f t="shared" si="19"/>
        <v>12.911638209731924</v>
      </c>
      <c r="CR13">
        <f t="shared" si="63"/>
        <v>0</v>
      </c>
      <c r="CS13">
        <v>0</v>
      </c>
      <c r="CT13" s="56">
        <v>40483</v>
      </c>
      <c r="CU13" s="8">
        <f t="shared" si="21"/>
        <v>52955.179999999993</v>
      </c>
      <c r="CV13" s="8">
        <f t="shared" si="64"/>
        <v>22435.602888812988</v>
      </c>
      <c r="CW13" s="8">
        <f t="shared" si="65"/>
        <v>25588.214159889401</v>
      </c>
      <c r="CX13" s="8">
        <f t="shared" si="22"/>
        <v>38972.020766235881</v>
      </c>
      <c r="CY13" s="8">
        <f t="shared" si="23"/>
        <v>35019.713701085748</v>
      </c>
      <c r="DW13" s="56">
        <v>40483</v>
      </c>
      <c r="DX13" s="8">
        <f t="shared" si="24"/>
        <v>130.47310032844547</v>
      </c>
      <c r="DY13" s="11">
        <f t="shared" si="25"/>
        <v>404998.32477898011</v>
      </c>
      <c r="DZ13">
        <f t="shared" si="26"/>
        <v>0</v>
      </c>
      <c r="EA13">
        <v>0</v>
      </c>
      <c r="EB13" s="11">
        <f t="shared" si="9"/>
        <v>45.776499078189175</v>
      </c>
      <c r="EC13" s="56">
        <v>40483</v>
      </c>
      <c r="ED13" s="8">
        <f t="shared" si="28"/>
        <v>52955.179999999993</v>
      </c>
      <c r="EE13" s="8">
        <f t="shared" si="29"/>
        <v>43868.077697837754</v>
      </c>
      <c r="EF13" s="8">
        <f t="shared" si="30"/>
        <v>44183.442063103394</v>
      </c>
      <c r="EG13" s="8">
        <f t="shared" si="31"/>
        <v>44197.88095873467</v>
      </c>
      <c r="EH13" s="8">
        <f t="shared" si="32"/>
        <v>44163.225413306463</v>
      </c>
      <c r="EI13" s="8">
        <f t="shared" si="33"/>
        <v>42351.847806607955</v>
      </c>
    </row>
    <row r="14" spans="1:139" x14ac:dyDescent="0.25">
      <c r="A14" s="38">
        <v>2010</v>
      </c>
      <c r="B14" s="11">
        <v>41.652058128005947</v>
      </c>
      <c r="C14" s="11">
        <v>69.202905539450285</v>
      </c>
      <c r="D14" s="11">
        <v>134.35932211148537</v>
      </c>
      <c r="E14" s="11">
        <v>5.4200968419091176</v>
      </c>
      <c r="F14" s="11">
        <v>35.270460029491211</v>
      </c>
      <c r="G14" s="11">
        <v>11.130024221849787</v>
      </c>
      <c r="H14" s="11">
        <v>76.136803827909233</v>
      </c>
      <c r="I14" s="11">
        <v>60.090556775109242</v>
      </c>
      <c r="J14" s="11">
        <v>132.06779686879304</v>
      </c>
      <c r="K14" s="11">
        <v>61.177723900746493</v>
      </c>
      <c r="L14" s="11">
        <v>85.255932196000586</v>
      </c>
      <c r="M14" s="11">
        <v>105.91331733167893</v>
      </c>
      <c r="N14" s="11">
        <v>817.67699777242933</v>
      </c>
      <c r="O14" s="11">
        <f t="shared" si="34"/>
        <v>375.87336562389902</v>
      </c>
      <c r="P14" s="11">
        <f t="shared" si="35"/>
        <v>245.21428577894159</v>
      </c>
      <c r="Q14" s="11">
        <f t="shared" si="36"/>
        <v>375.50000034637083</v>
      </c>
      <c r="R14" s="56">
        <v>36100</v>
      </c>
      <c r="S14" s="8">
        <v>41.454092979431131</v>
      </c>
      <c r="T14" s="8">
        <v>459.06887853145594</v>
      </c>
      <c r="U14" s="8">
        <v>0</v>
      </c>
      <c r="V14" s="8">
        <v>597.69401901960418</v>
      </c>
      <c r="W14" s="8">
        <v>322.45494748651976</v>
      </c>
      <c r="X14" s="8">
        <v>0</v>
      </c>
      <c r="Y14" s="8">
        <v>959.67442417144775</v>
      </c>
      <c r="Z14" s="8">
        <v>145.26182969080978</v>
      </c>
      <c r="AA14" s="8">
        <v>0</v>
      </c>
      <c r="AH14" s="56">
        <v>40848</v>
      </c>
      <c r="AI14" s="8">
        <f>AD170+AC170</f>
        <v>58641.049479363719</v>
      </c>
      <c r="AJ14" s="8">
        <f>AE170</f>
        <v>139755.05178445601</v>
      </c>
      <c r="AK14" s="11">
        <f t="shared" si="54"/>
        <v>49.737814986006242</v>
      </c>
      <c r="AL14" s="11">
        <f t="shared" si="55"/>
        <v>-15.107035882061098</v>
      </c>
      <c r="AM14" s="56">
        <v>40848</v>
      </c>
      <c r="AN14" s="8">
        <v>60504.60000000002</v>
      </c>
      <c r="AP14">
        <v>2009</v>
      </c>
      <c r="AQ14" s="8">
        <f t="shared" ref="AQ14:AQ18" si="66">AI12+AJ12+AY13</f>
        <v>309007.29918436671</v>
      </c>
      <c r="AR14" s="11">
        <f t="shared" ref="AR14:AR18" si="67">Q13</f>
        <v>367.76949165981563</v>
      </c>
      <c r="AS14" s="11">
        <f t="shared" ref="AS14:AS18" si="68">AR14-$Q$21</f>
        <v>24.972911712494806</v>
      </c>
      <c r="AT14" s="8">
        <f t="shared" ref="AT14:AT18" si="69">AN12</f>
        <v>23085.940000000017</v>
      </c>
      <c r="AU14" s="8">
        <f t="shared" ref="AU14:AU18" si="70">AT14*$AY$1</f>
        <v>207773.46000000014</v>
      </c>
      <c r="AV14" s="8">
        <f t="shared" ref="AV14:AV18" si="71">AU14-(AT14*(AS14/100))</f>
        <v>202008.22858580062</v>
      </c>
      <c r="AW14" s="8">
        <f t="shared" ref="AW14:AW18" si="72">AQ14-AV14</f>
        <v>106999.07059856609</v>
      </c>
      <c r="AX14" s="8">
        <f>AE147</f>
        <v>78467.581737719302</v>
      </c>
      <c r="AY14" s="8">
        <f t="shared" ref="AY14:AY18" si="73">IF(AW14&gt;0, AW14,IF(-AW14&gt;AX14,-AX14,AW14))</f>
        <v>106999.07059856609</v>
      </c>
      <c r="AZ14" s="8">
        <f t="shared" ref="AZ14:AZ18" si="74">AY13+AJ12</f>
        <v>260247.37387605547</v>
      </c>
      <c r="BA14" s="8">
        <f>AC147</f>
        <v>22270.814600996535</v>
      </c>
      <c r="BC14" s="56">
        <v>40848</v>
      </c>
      <c r="BH14" s="56">
        <v>40848</v>
      </c>
      <c r="BU14" s="56">
        <v>40848</v>
      </c>
      <c r="BV14" s="8">
        <f t="shared" si="56"/>
        <v>114966.89373341319</v>
      </c>
      <c r="BW14" s="8">
        <f t="shared" si="57"/>
        <v>47690.771428024629</v>
      </c>
      <c r="BX14" s="11">
        <f t="shared" si="58"/>
        <v>49.737814986006242</v>
      </c>
      <c r="BY14" s="11">
        <f t="shared" si="59"/>
        <v>-15.107035882061098</v>
      </c>
      <c r="BZ14" s="20">
        <f t="shared" si="60"/>
        <v>11.652399485320803</v>
      </c>
      <c r="CA14">
        <v>0</v>
      </c>
      <c r="CB14" s="56">
        <v>40848</v>
      </c>
      <c r="CN14" s="56">
        <v>40848</v>
      </c>
      <c r="CO14" s="8">
        <f t="shared" si="61"/>
        <v>47690.771428024629</v>
      </c>
      <c r="CP14" s="11">
        <f t="shared" si="62"/>
        <v>-15.107035882061098</v>
      </c>
      <c r="CQ14" s="17">
        <f t="shared" si="19"/>
        <v>11.652399485320803</v>
      </c>
      <c r="CR14">
        <f t="shared" si="63"/>
        <v>0</v>
      </c>
      <c r="CS14">
        <v>0</v>
      </c>
      <c r="CT14" s="56">
        <v>40848</v>
      </c>
      <c r="CU14" s="8">
        <f t="shared" si="21"/>
        <v>60504.60000000002</v>
      </c>
      <c r="CV14" s="8">
        <f t="shared" si="64"/>
        <v>36699.503099416856</v>
      </c>
      <c r="CW14" s="8">
        <f t="shared" si="65"/>
        <v>37205.107723568995</v>
      </c>
      <c r="CX14" s="8">
        <f t="shared" si="22"/>
        <v>38441.725065749662</v>
      </c>
      <c r="CY14" s="8">
        <f t="shared" si="23"/>
        <v>36865.563945142203</v>
      </c>
      <c r="DW14" s="56">
        <v>40848</v>
      </c>
      <c r="DX14" s="8">
        <f t="shared" si="24"/>
        <v>47690.771428024629</v>
      </c>
      <c r="DY14" s="11">
        <f t="shared" si="25"/>
        <v>114966.89373341319</v>
      </c>
      <c r="DZ14">
        <f t="shared" si="26"/>
        <v>0</v>
      </c>
      <c r="EA14">
        <v>1</v>
      </c>
      <c r="EB14" s="11">
        <f t="shared" si="9"/>
        <v>-15.107035882061098</v>
      </c>
      <c r="EC14" s="56">
        <v>40848</v>
      </c>
      <c r="ED14" s="8">
        <f t="shared" si="28"/>
        <v>60504.60000000002</v>
      </c>
      <c r="EE14" s="8">
        <f t="shared" si="29"/>
        <v>60772.822087031047</v>
      </c>
      <c r="EF14" s="8">
        <f t="shared" si="30"/>
        <v>63076.373647117078</v>
      </c>
      <c r="EG14" s="8">
        <f t="shared" si="31"/>
        <v>42443.039040084564</v>
      </c>
      <c r="EH14" s="8">
        <f t="shared" si="32"/>
        <v>43204.484675029766</v>
      </c>
      <c r="EI14" s="8">
        <f t="shared" si="33"/>
        <v>59892.474946922368</v>
      </c>
    </row>
    <row r="15" spans="1:139" x14ac:dyDescent="0.25">
      <c r="A15" s="38">
        <v>2011</v>
      </c>
      <c r="B15" s="11">
        <v>93.717433532271485</v>
      </c>
      <c r="C15" s="11">
        <v>29.768280846732004</v>
      </c>
      <c r="D15" s="11">
        <v>60.84503643968781</v>
      </c>
      <c r="E15" s="11">
        <v>38.261501266073083</v>
      </c>
      <c r="F15" s="11">
        <v>30.798789340705039</v>
      </c>
      <c r="G15" s="11">
        <v>16.591041173542383</v>
      </c>
      <c r="H15" s="11">
        <v>18.001694907864994</v>
      </c>
      <c r="I15" s="11">
        <v>39.978450354883229</v>
      </c>
      <c r="J15" s="11">
        <v>61.3351088794034</v>
      </c>
      <c r="K15" s="11">
        <v>63.347941844284392</v>
      </c>
      <c r="L15" s="11">
        <v>92.520823268567099</v>
      </c>
      <c r="M15" s="11">
        <v>138.73486666182919</v>
      </c>
      <c r="N15" s="11">
        <v>683.90096851584417</v>
      </c>
      <c r="O15" s="11">
        <f t="shared" si="34"/>
        <v>230.05302650068342</v>
      </c>
      <c r="P15" s="11">
        <f t="shared" si="35"/>
        <v>184.33075081869131</v>
      </c>
      <c r="Q15" s="11">
        <f t="shared" si="36"/>
        <v>446.42372864037389</v>
      </c>
      <c r="R15" s="56">
        <v>36130</v>
      </c>
      <c r="S15" s="8">
        <v>3825.0954561233507</v>
      </c>
      <c r="T15" s="8">
        <v>1822.6620561480522</v>
      </c>
      <c r="U15" s="8">
        <v>0</v>
      </c>
      <c r="V15" s="8">
        <v>28368.709568023685</v>
      </c>
      <c r="W15" s="8">
        <v>558.96166743338222</v>
      </c>
      <c r="X15" s="8">
        <v>0</v>
      </c>
      <c r="Y15" s="8">
        <v>4729.3607773780859</v>
      </c>
      <c r="Z15" s="8">
        <v>1.2204204559326184</v>
      </c>
      <c r="AA15" s="8">
        <v>0</v>
      </c>
      <c r="AH15" s="56">
        <v>41214</v>
      </c>
      <c r="AI15" s="8">
        <f>AD182+AC182</f>
        <v>212240.92327990808</v>
      </c>
      <c r="AJ15" s="8">
        <f>AE182</f>
        <v>155182.94642428018</v>
      </c>
      <c r="AK15" s="11">
        <f t="shared" si="54"/>
        <v>-38.032887097803069</v>
      </c>
      <c r="AL15" s="11">
        <f t="shared" si="55"/>
        <v>15.730252009225211</v>
      </c>
      <c r="AM15" s="56">
        <v>41214</v>
      </c>
      <c r="AN15" s="8">
        <v>48202.350000000013</v>
      </c>
      <c r="AP15">
        <v>2010</v>
      </c>
      <c r="AQ15" s="8">
        <f t="shared" si="66"/>
        <v>434490.30681048345</v>
      </c>
      <c r="AR15" s="11">
        <f t="shared" si="67"/>
        <v>375.50000034637083</v>
      </c>
      <c r="AS15" s="11">
        <f t="shared" si="68"/>
        <v>32.703420399050003</v>
      </c>
      <c r="AT15" s="8">
        <f t="shared" si="69"/>
        <v>52955.179999999993</v>
      </c>
      <c r="AU15" s="8">
        <f t="shared" si="70"/>
        <v>476596.61999999994</v>
      </c>
      <c r="AV15" s="8">
        <f t="shared" si="71"/>
        <v>459278.46486152627</v>
      </c>
      <c r="AW15" s="8">
        <f t="shared" si="72"/>
        <v>-24788.158051042818</v>
      </c>
      <c r="AX15" s="8">
        <f>AE159</f>
        <v>99098.525562785522</v>
      </c>
      <c r="AY15" s="8">
        <f t="shared" si="73"/>
        <v>-24788.158051042818</v>
      </c>
      <c r="AZ15" s="8">
        <f t="shared" si="74"/>
        <v>404998.32477898011</v>
      </c>
      <c r="BA15" s="8">
        <f>AC159</f>
        <v>130.47310032844547</v>
      </c>
      <c r="BC15" s="56">
        <v>41214</v>
      </c>
      <c r="BH15" s="56">
        <v>41214</v>
      </c>
      <c r="BU15" s="56">
        <v>41214</v>
      </c>
      <c r="BV15" s="8">
        <f t="shared" si="56"/>
        <v>22097.719703406212</v>
      </c>
      <c r="BW15" s="8">
        <f t="shared" si="57"/>
        <v>79276.446299164076</v>
      </c>
      <c r="BX15" s="11">
        <f t="shared" si="58"/>
        <v>-38.032887097803069</v>
      </c>
      <c r="BY15" s="11">
        <f t="shared" si="59"/>
        <v>15.730252009225211</v>
      </c>
      <c r="BZ15" s="20">
        <f t="shared" si="60"/>
        <v>10.003229701340986</v>
      </c>
      <c r="CA15">
        <v>0</v>
      </c>
      <c r="CB15" s="56">
        <v>41214</v>
      </c>
      <c r="CN15" s="56">
        <v>41214</v>
      </c>
      <c r="CO15" s="8">
        <f t="shared" si="61"/>
        <v>79276.446299164076</v>
      </c>
      <c r="CP15" s="11">
        <f t="shared" si="62"/>
        <v>15.730252009225211</v>
      </c>
      <c r="CQ15" s="17">
        <f t="shared" si="19"/>
        <v>10.003229701340986</v>
      </c>
      <c r="CR15">
        <f t="shared" si="63"/>
        <v>0</v>
      </c>
      <c r="CS15">
        <v>0</v>
      </c>
      <c r="CT15" s="56">
        <v>41214</v>
      </c>
      <c r="CU15" s="8">
        <f t="shared" si="21"/>
        <v>48202.350000000013</v>
      </c>
      <c r="CV15" s="8">
        <f t="shared" si="64"/>
        <v>62298.358031815253</v>
      </c>
      <c r="CW15" s="8">
        <f t="shared" si="65"/>
        <v>59992.140482001705</v>
      </c>
      <c r="CX15" s="8">
        <f t="shared" si="22"/>
        <v>45370.814867210698</v>
      </c>
      <c r="CY15" s="8">
        <f t="shared" si="23"/>
        <v>46675.018768759895</v>
      </c>
      <c r="DW15" s="56">
        <v>41214</v>
      </c>
      <c r="DX15" s="8">
        <f t="shared" si="24"/>
        <v>79276.446299164076</v>
      </c>
      <c r="DY15" s="11">
        <f t="shared" si="25"/>
        <v>22097.719703406212</v>
      </c>
      <c r="DZ15">
        <f t="shared" si="26"/>
        <v>0</v>
      </c>
      <c r="EA15">
        <v>0</v>
      </c>
      <c r="EB15" s="11">
        <f t="shared" si="9"/>
        <v>15.730252009225211</v>
      </c>
      <c r="EC15" s="56">
        <v>41214</v>
      </c>
      <c r="ED15" s="8">
        <f t="shared" si="28"/>
        <v>48202.350000000013</v>
      </c>
      <c r="EE15" s="8">
        <f t="shared" si="29"/>
        <v>45732.732696025225</v>
      </c>
      <c r="EF15" s="8">
        <f t="shared" si="30"/>
        <v>45513.063479255485</v>
      </c>
      <c r="EG15" s="8">
        <f t="shared" si="31"/>
        <v>52142.846694263957</v>
      </c>
      <c r="EH15" s="8">
        <f t="shared" si="32"/>
        <v>53423.942541826123</v>
      </c>
      <c r="EI15" s="8">
        <f t="shared" si="33"/>
        <v>55009.389511684669</v>
      </c>
    </row>
    <row r="16" spans="1:139" x14ac:dyDescent="0.25">
      <c r="A16" s="38">
        <v>2012</v>
      </c>
      <c r="B16" s="11">
        <v>127.77263910141176</v>
      </c>
      <c r="C16" s="11">
        <v>55.491283345164746</v>
      </c>
      <c r="D16" s="11">
        <v>31.904116263401132</v>
      </c>
      <c r="E16" s="11">
        <v>35.291767549861142</v>
      </c>
      <c r="F16" s="11">
        <v>30.570944298843493</v>
      </c>
      <c r="G16" s="11">
        <v>30.831234832652832</v>
      </c>
      <c r="H16" s="11">
        <v>46.525665865106099</v>
      </c>
      <c r="I16" s="11">
        <v>2.569007258149671</v>
      </c>
      <c r="J16" s="11">
        <v>13.046731233019518</v>
      </c>
      <c r="K16" s="11">
        <v>18.738740929102494</v>
      </c>
      <c r="L16" s="11">
        <v>32.864164634131924</v>
      </c>
      <c r="M16" s="11">
        <v>79.97094431916392</v>
      </c>
      <c r="N16" s="11">
        <v>505.57723963000865</v>
      </c>
      <c r="O16" s="11">
        <f t="shared" si="34"/>
        <v>142.2823244168741</v>
      </c>
      <c r="P16" s="11">
        <f t="shared" si="35"/>
        <v>215.16803870997762</v>
      </c>
      <c r="Q16" s="11">
        <f t="shared" si="36"/>
        <v>455.57675571764923</v>
      </c>
      <c r="R16" s="56">
        <v>36161</v>
      </c>
      <c r="S16" s="8">
        <v>19058.971605300903</v>
      </c>
      <c r="T16" s="8">
        <v>0</v>
      </c>
      <c r="U16" s="8">
        <v>0</v>
      </c>
      <c r="V16" s="8">
        <v>37200.403818607338</v>
      </c>
      <c r="W16" s="8">
        <v>0</v>
      </c>
      <c r="X16" s="8">
        <v>0</v>
      </c>
      <c r="Y16" s="8">
        <v>10135.531322908402</v>
      </c>
      <c r="Z16" s="8">
        <v>51.964811307191894</v>
      </c>
      <c r="AA16" s="8">
        <v>0</v>
      </c>
      <c r="AH16" s="56">
        <v>41579</v>
      </c>
      <c r="AI16" s="8">
        <f>AD194+AC194</f>
        <v>204132.41686896834</v>
      </c>
      <c r="AJ16" s="8">
        <f>AE194</f>
        <v>220123.47794224368</v>
      </c>
      <c r="AK16" s="11">
        <f t="shared" si="54"/>
        <v>-54.918843481593655</v>
      </c>
      <c r="AL16" s="11">
        <f t="shared" si="55"/>
        <v>143.30386006360104</v>
      </c>
      <c r="AM16" s="56">
        <v>41579</v>
      </c>
      <c r="AN16" s="8">
        <v>45093.840000000026</v>
      </c>
      <c r="AP16">
        <v>2011</v>
      </c>
      <c r="AQ16" s="8">
        <f t="shared" si="66"/>
        <v>173607.94321277691</v>
      </c>
      <c r="AR16" s="11">
        <f t="shared" si="67"/>
        <v>446.42372864037389</v>
      </c>
      <c r="AS16" s="11">
        <f t="shared" si="68"/>
        <v>103.62714869305307</v>
      </c>
      <c r="AT16" s="8">
        <f t="shared" si="69"/>
        <v>60504.60000000002</v>
      </c>
      <c r="AU16" s="8">
        <f t="shared" si="70"/>
        <v>544541.40000000014</v>
      </c>
      <c r="AV16" s="8">
        <f t="shared" si="71"/>
        <v>481842.20819186314</v>
      </c>
      <c r="AW16" s="8">
        <f t="shared" si="72"/>
        <v>-308234.26497908623</v>
      </c>
      <c r="AX16" s="8">
        <f>AE171</f>
        <v>133085.22672087396</v>
      </c>
      <c r="AY16" s="8">
        <f t="shared" si="73"/>
        <v>-133085.22672087396</v>
      </c>
      <c r="AZ16" s="8">
        <f t="shared" si="74"/>
        <v>114966.89373341319</v>
      </c>
      <c r="BA16" s="8">
        <f>AC171</f>
        <v>47690.771428024629</v>
      </c>
      <c r="BC16" s="56">
        <v>41579</v>
      </c>
      <c r="BH16" s="56">
        <v>41579</v>
      </c>
      <c r="BU16" s="56">
        <v>41579</v>
      </c>
      <c r="BV16" s="8">
        <f t="shared" si="56"/>
        <v>75003.665980986727</v>
      </c>
      <c r="BW16" s="8">
        <f t="shared" si="57"/>
        <v>63368.826018012689</v>
      </c>
      <c r="BX16" s="11">
        <f t="shared" si="58"/>
        <v>-54.918843481593655</v>
      </c>
      <c r="BY16" s="11">
        <f t="shared" si="59"/>
        <v>143.30386006360104</v>
      </c>
      <c r="BZ16" s="20">
        <f t="shared" si="60"/>
        <v>11.22529227107036</v>
      </c>
      <c r="CA16">
        <v>0</v>
      </c>
      <c r="CB16" s="56">
        <v>41579</v>
      </c>
      <c r="CN16" s="56">
        <v>41579</v>
      </c>
      <c r="CO16" s="8">
        <f t="shared" si="61"/>
        <v>63368.826018012689</v>
      </c>
      <c r="CP16" s="11">
        <f t="shared" si="62"/>
        <v>143.30386006360104</v>
      </c>
      <c r="CQ16" s="17">
        <f t="shared" si="19"/>
        <v>11.22529227107036</v>
      </c>
      <c r="CR16">
        <f t="shared" si="63"/>
        <v>0</v>
      </c>
      <c r="CS16">
        <v>0</v>
      </c>
      <c r="CT16" s="56">
        <v>41579</v>
      </c>
      <c r="CU16" s="8">
        <f t="shared" si="21"/>
        <v>45093.840000000026</v>
      </c>
      <c r="CV16" s="8">
        <f t="shared" si="64"/>
        <v>83592.074485062971</v>
      </c>
      <c r="CW16" s="8">
        <f t="shared" si="65"/>
        <v>81163.999519355959</v>
      </c>
      <c r="CX16" s="8">
        <f t="shared" si="22"/>
        <v>61662.900933719327</v>
      </c>
      <c r="CY16" s="8">
        <f t="shared" si="23"/>
        <v>63408.832413710712</v>
      </c>
      <c r="DW16" s="56">
        <v>41579</v>
      </c>
      <c r="DX16" s="8">
        <f t="shared" si="24"/>
        <v>63368.826018012689</v>
      </c>
      <c r="DY16" s="11">
        <f t="shared" si="25"/>
        <v>75003.665980986727</v>
      </c>
      <c r="DZ16">
        <f t="shared" si="26"/>
        <v>0</v>
      </c>
      <c r="EA16">
        <v>0</v>
      </c>
      <c r="EB16" s="11">
        <f t="shared" si="9"/>
        <v>143.30386006360104</v>
      </c>
      <c r="EC16" s="56">
        <v>41579</v>
      </c>
      <c r="ED16" s="8">
        <f t="shared" si="28"/>
        <v>45093.840000000026</v>
      </c>
      <c r="EE16" s="8">
        <f t="shared" si="29"/>
        <v>58404.532581987391</v>
      </c>
      <c r="EF16" s="8">
        <f t="shared" si="30"/>
        <v>42625.89982785</v>
      </c>
      <c r="EG16" s="8">
        <f t="shared" si="31"/>
        <v>47925.849513241534</v>
      </c>
      <c r="EH16" s="8">
        <f t="shared" si="32"/>
        <v>48944.674981413198</v>
      </c>
      <c r="EI16" s="8">
        <f t="shared" si="33"/>
        <v>74373.240260237828</v>
      </c>
    </row>
    <row r="17" spans="1:144" x14ac:dyDescent="0.25">
      <c r="A17" s="38">
        <v>2013</v>
      </c>
      <c r="B17" s="11">
        <v>179.7012110195206</v>
      </c>
      <c r="C17" s="11">
        <v>45.65036329403339</v>
      </c>
      <c r="D17" s="11">
        <v>117.39007245079945</v>
      </c>
      <c r="E17" s="11">
        <v>12.454963690071359</v>
      </c>
      <c r="F17" s="11">
        <v>16.47336564283394</v>
      </c>
      <c r="G17" s="11">
        <v>35.652542400591024</v>
      </c>
      <c r="H17" s="11">
        <v>24.36610170830826</v>
      </c>
      <c r="I17" s="11">
        <v>3.4232445450152382</v>
      </c>
      <c r="J17" s="11">
        <v>20.096610131621649</v>
      </c>
      <c r="K17" s="11">
        <v>25.384503604713423</v>
      </c>
      <c r="L17" s="11">
        <v>70.51380138073938</v>
      </c>
      <c r="M17" s="11">
        <v>20.160290556438898</v>
      </c>
      <c r="N17" s="11">
        <v>571.26707042468661</v>
      </c>
      <c r="O17" s="11">
        <f t="shared" si="34"/>
        <v>125.39636803308352</v>
      </c>
      <c r="P17" s="11">
        <f t="shared" si="35"/>
        <v>342.74164676435345</v>
      </c>
      <c r="Q17" s="11">
        <f t="shared" si="36"/>
        <v>273.33220337089557</v>
      </c>
      <c r="R17" s="56">
        <v>36192</v>
      </c>
      <c r="S17" s="8">
        <v>8928.0349960327167</v>
      </c>
      <c r="T17" s="8">
        <v>9592.7806663513256</v>
      </c>
      <c r="U17" s="8">
        <v>0</v>
      </c>
      <c r="V17" s="8">
        <v>14022.896160244945</v>
      </c>
      <c r="W17" s="8">
        <v>12.277115777134902</v>
      </c>
      <c r="X17" s="8">
        <v>0</v>
      </c>
      <c r="Y17" s="8">
        <v>4843.8549040436765</v>
      </c>
      <c r="Z17" s="8">
        <v>96.140892662573705</v>
      </c>
      <c r="AA17" s="8">
        <v>0</v>
      </c>
      <c r="AP17">
        <v>2012</v>
      </c>
      <c r="AQ17" s="8">
        <f t="shared" si="66"/>
        <v>234338.64298331429</v>
      </c>
      <c r="AR17" s="11">
        <f t="shared" si="67"/>
        <v>455.57675571764923</v>
      </c>
      <c r="AS17" s="11">
        <f t="shared" si="68"/>
        <v>112.78017577032841</v>
      </c>
      <c r="AT17" s="8">
        <f t="shared" si="69"/>
        <v>48202.350000000013</v>
      </c>
      <c r="AU17" s="8">
        <f t="shared" si="70"/>
        <v>433821.15000000014</v>
      </c>
      <c r="AV17" s="8">
        <f t="shared" si="71"/>
        <v>379458.45494457125</v>
      </c>
      <c r="AW17" s="8">
        <f t="shared" si="72"/>
        <v>-145119.81196125696</v>
      </c>
      <c r="AX17" s="8">
        <f>AE183</f>
        <v>208405.09983376102</v>
      </c>
      <c r="AY17" s="8">
        <f t="shared" si="73"/>
        <v>-145119.81196125696</v>
      </c>
      <c r="AZ17" s="8">
        <f t="shared" si="74"/>
        <v>22097.719703406212</v>
      </c>
      <c r="BA17" s="8">
        <f>AC183</f>
        <v>79276.446299164076</v>
      </c>
      <c r="DX17" s="23" t="s">
        <v>562</v>
      </c>
      <c r="DY17" s="23" t="s">
        <v>596</v>
      </c>
      <c r="DZ17" s="23" t="s">
        <v>571</v>
      </c>
      <c r="EA17" s="23" t="s">
        <v>527</v>
      </c>
      <c r="EB17" s="23" t="s">
        <v>535</v>
      </c>
    </row>
    <row r="18" spans="1:144" x14ac:dyDescent="0.25">
      <c r="A18" s="38">
        <v>2014</v>
      </c>
      <c r="B18" s="11">
        <v>28.13510897546357</v>
      </c>
      <c r="C18" s="11">
        <v>34.424939504258568</v>
      </c>
      <c r="D18" s="11">
        <v>120.09806295399515</v>
      </c>
      <c r="E18" s="11">
        <v>3.4285714297981587</v>
      </c>
      <c r="F18" s="11">
        <v>21.53801446965474</v>
      </c>
      <c r="G18" s="11">
        <v>24.972639233956325</v>
      </c>
      <c r="H18" s="11">
        <v>10.161743322238506</v>
      </c>
      <c r="I18" s="11">
        <v>41.878450296692932</v>
      </c>
      <c r="J18" s="11">
        <v>10.989588355325324</v>
      </c>
      <c r="K18" s="11">
        <v>10.121549638290382</v>
      </c>
      <c r="L18" s="11">
        <v>20.761985540967299</v>
      </c>
      <c r="M18" s="11">
        <v>84.673123440500035</v>
      </c>
      <c r="N18" s="11">
        <v>411.18377716114099</v>
      </c>
      <c r="O18" s="11">
        <f t="shared" si="34"/>
        <v>119.66198531615822</v>
      </c>
      <c r="P18" s="11">
        <f t="shared" si="35"/>
        <v>182.65811143371729</v>
      </c>
      <c r="Q18" s="11">
        <f t="shared" si="36"/>
        <v>300.24818419255587</v>
      </c>
      <c r="R18" s="56">
        <v>36220</v>
      </c>
      <c r="S18" s="8">
        <v>0</v>
      </c>
      <c r="T18" s="8">
        <v>52858.268293559559</v>
      </c>
      <c r="U18" s="8">
        <v>4687.5487041473389</v>
      </c>
      <c r="V18" s="8">
        <v>9.8175092935562098</v>
      </c>
      <c r="W18" s="8">
        <v>29699.831114917994</v>
      </c>
      <c r="X18" s="8">
        <v>324</v>
      </c>
      <c r="Y18" s="8">
        <v>433.94083439055817</v>
      </c>
      <c r="Z18" s="8">
        <v>1147.4198711883284</v>
      </c>
      <c r="AA18" s="8">
        <v>0</v>
      </c>
      <c r="AP18">
        <v>2013</v>
      </c>
      <c r="AQ18" s="8">
        <f t="shared" si="66"/>
        <v>279136.08284995507</v>
      </c>
      <c r="AR18" s="11">
        <f t="shared" si="67"/>
        <v>273.33220337089557</v>
      </c>
      <c r="AS18" s="11">
        <f t="shared" si="68"/>
        <v>-69.464376576425252</v>
      </c>
      <c r="AT18" s="8">
        <f t="shared" si="69"/>
        <v>45093.840000000026</v>
      </c>
      <c r="AU18" s="8">
        <f t="shared" si="70"/>
        <v>405844.56000000023</v>
      </c>
      <c r="AV18" s="8">
        <f t="shared" si="71"/>
        <v>437168.71483037091</v>
      </c>
      <c r="AW18" s="8">
        <f t="shared" si="72"/>
        <v>-158032.63198041584</v>
      </c>
      <c r="AX18" s="8">
        <f>AE195</f>
        <v>19010.174102097757</v>
      </c>
      <c r="AY18" s="8">
        <f t="shared" si="73"/>
        <v>-19010.174102097757</v>
      </c>
      <c r="AZ18" s="8">
        <f t="shared" si="74"/>
        <v>75003.665980986727</v>
      </c>
      <c r="BA18" s="8">
        <f>AC195</f>
        <v>63368.826018012689</v>
      </c>
      <c r="BD18" s="24" t="s">
        <v>458</v>
      </c>
      <c r="BE18" s="24" t="s">
        <v>453</v>
      </c>
      <c r="DW18" t="s">
        <v>556</v>
      </c>
      <c r="DX18">
        <f t="array" ref="DX18:EB22">LINEST(ED2:ED16,DX2:EB16,0,1)</f>
        <v>125.93553327548636</v>
      </c>
      <c r="DY18">
        <v>26806.904749901019</v>
      </c>
      <c r="DZ18">
        <v>39327.827435018546</v>
      </c>
      <c r="EA18">
        <v>9.3912978027546667E-2</v>
      </c>
      <c r="EB18">
        <v>0.52571065305383446</v>
      </c>
      <c r="EC18" t="s">
        <v>558</v>
      </c>
      <c r="ED18">
        <f t="array" ref="ED18:EG22">LINEST(ED2:ED16,DX2:EA16,0,1)</f>
        <v>24622.535733812161</v>
      </c>
      <c r="EE18">
        <v>20723.43506149602</v>
      </c>
      <c r="EF18">
        <v>0.10892019858200432</v>
      </c>
      <c r="EG18">
        <v>0.54374505257566697</v>
      </c>
      <c r="EH18" t="s">
        <v>559</v>
      </c>
      <c r="EI18">
        <f t="array" ref="EI18:EK22">LINEST(ED2:ED16,DX2:DZ16,0,1)</f>
        <v>18908.784699214608</v>
      </c>
      <c r="EJ18">
        <v>0.10892890953529728</v>
      </c>
      <c r="EK18">
        <v>0.6273712875078723</v>
      </c>
      <c r="EL18" t="s">
        <v>560</v>
      </c>
      <c r="EM18">
        <f t="array" ref="EM18:EN22">LINEST(ED2:ED16,DX2:DY16,0,1)</f>
        <v>0.10883812576861565</v>
      </c>
      <c r="EN18">
        <v>0.64355644743481832</v>
      </c>
    </row>
    <row r="19" spans="1:144" x14ac:dyDescent="0.25">
      <c r="A19" s="38">
        <v>2015</v>
      </c>
      <c r="B19" s="11">
        <v>107.03414045061383</v>
      </c>
      <c r="C19" s="11">
        <v>45.295883774468741</v>
      </c>
      <c r="D19" s="11">
        <v>42.483050986005956</v>
      </c>
      <c r="E19" s="11">
        <v>77.807021808393358</v>
      </c>
      <c r="F19" s="11">
        <v>56.765859573863032</v>
      </c>
      <c r="G19" s="11">
        <v>41.449878946632218</v>
      </c>
      <c r="H19" s="11">
        <v>55.623971070850736</v>
      </c>
      <c r="I19" s="11">
        <v>22.437046004842614</v>
      </c>
      <c r="J19" s="11">
        <v>9.0452784449944481</v>
      </c>
      <c r="K19" s="11">
        <v>30.867312327424205</v>
      </c>
      <c r="L19" s="11">
        <v>39.67070215146709</v>
      </c>
      <c r="M19" s="11">
        <v>72.5987894182921</v>
      </c>
      <c r="N19" s="11">
        <v>601.07893495784845</v>
      </c>
      <c r="O19" s="11">
        <f t="shared" si="34"/>
        <v>216.18934636860723</v>
      </c>
      <c r="P19" s="11">
        <f t="shared" si="35"/>
        <v>194.81307521108855</v>
      </c>
      <c r="Q19" s="11"/>
      <c r="R19" s="56">
        <v>36251</v>
      </c>
      <c r="S19" s="8">
        <v>123.53888845443723</v>
      </c>
      <c r="T19" s="8">
        <v>826.35099649429321</v>
      </c>
      <c r="U19" s="8">
        <v>141.91197776794439</v>
      </c>
      <c r="V19" s="8">
        <v>144.98550668358806</v>
      </c>
      <c r="W19" s="8">
        <v>209.82551176846044</v>
      </c>
      <c r="X19" s="8">
        <v>0</v>
      </c>
      <c r="Y19" s="8">
        <v>2.9143916383385666</v>
      </c>
      <c r="Z19" s="8">
        <v>5.5560215841978812E-4</v>
      </c>
      <c r="AA19" s="8">
        <v>0</v>
      </c>
      <c r="BD19">
        <f t="array" ref="BD19:BE23">LINEST(BI2:BI11,BD2:BE11,0,1)</f>
        <v>6.2581154545739703E-2</v>
      </c>
      <c r="BE19">
        <v>0.28359116906670123</v>
      </c>
      <c r="BG19" s="24" t="s">
        <v>504</v>
      </c>
      <c r="BH19" s="24" t="s">
        <v>458</v>
      </c>
      <c r="BI19" s="24" t="s">
        <v>453</v>
      </c>
      <c r="BV19">
        <f t="array" ref="BV19:BY23">LINEST(CC2:CC11,BV2:BY11,0,1)</f>
        <v>174.71170237510228</v>
      </c>
      <c r="BW19">
        <v>282.71311062264112</v>
      </c>
      <c r="BX19">
        <v>1.0594503814163805</v>
      </c>
      <c r="BY19">
        <v>4.7335549889988306E-4</v>
      </c>
      <c r="CN19" t="s">
        <v>329</v>
      </c>
      <c r="CO19">
        <f t="array" ref="CO19:CR23">LINEST(CU2:CU11,CO2:CR11,0,1)</f>
        <v>46307.251787548586</v>
      </c>
      <c r="CP19">
        <v>893.00705960187724</v>
      </c>
      <c r="CQ19">
        <v>236.4469026418754</v>
      </c>
      <c r="CR19">
        <v>0.62623939697035369</v>
      </c>
      <c r="CT19" t="s">
        <v>554</v>
      </c>
      <c r="CU19">
        <f t="array" ref="CU19:CY23">LINEST(CU2:CU16,CO2:CS16,0,1)</f>
        <v>-20923.866950199521</v>
      </c>
      <c r="CV19">
        <v>23131.812571952545</v>
      </c>
      <c r="CW19">
        <v>2550.7470035803872</v>
      </c>
      <c r="CX19">
        <v>131.25553393906549</v>
      </c>
      <c r="CY19">
        <v>0.22440995887714915</v>
      </c>
      <c r="CZ19" t="s">
        <v>555</v>
      </c>
      <c r="DA19">
        <f t="array" ref="DA19:DD23">LINEST(CU2:CU16,CO2:CR16,0,1)</f>
        <v>27534.393548318163</v>
      </c>
      <c r="DB19">
        <v>2193.703723933425</v>
      </c>
      <c r="DC19">
        <v>145.45604433859498</v>
      </c>
      <c r="DD19">
        <v>0.28309589210348146</v>
      </c>
      <c r="DV19" t="s">
        <v>545</v>
      </c>
      <c r="DX19">
        <v>40.107864005940556</v>
      </c>
      <c r="DY19">
        <v>7036.7574279722685</v>
      </c>
      <c r="DZ19">
        <v>10991.956909052795</v>
      </c>
      <c r="EA19">
        <v>1.7023888119523722E-2</v>
      </c>
      <c r="EB19">
        <v>6.6934433874748886E-2</v>
      </c>
      <c r="ED19">
        <v>9408.5620605612457</v>
      </c>
      <c r="EE19">
        <v>12439.839860201862</v>
      </c>
      <c r="EF19">
        <v>2.1954022974709182E-2</v>
      </c>
      <c r="EG19">
        <v>8.9604181369682429E-2</v>
      </c>
      <c r="EI19">
        <v>15147.948944172356</v>
      </c>
      <c r="EJ19">
        <v>2.6774962606444897E-2</v>
      </c>
      <c r="EK19">
        <v>0.10209537400088316</v>
      </c>
      <c r="EM19">
        <v>2.7343644811509742E-2</v>
      </c>
      <c r="EN19">
        <v>0.1034199490891563</v>
      </c>
    </row>
    <row r="20" spans="1:144" x14ac:dyDescent="0.25">
      <c r="R20" s="56">
        <v>36281</v>
      </c>
      <c r="S20" s="8">
        <v>251.56683111190802</v>
      </c>
      <c r="T20" s="8">
        <v>341.36308550834673</v>
      </c>
      <c r="U20" s="8">
        <v>8.1296143531799299</v>
      </c>
      <c r="V20" s="8">
        <v>129.25707870721817</v>
      </c>
      <c r="W20" s="8">
        <v>160.09064882993698</v>
      </c>
      <c r="X20" s="8">
        <v>0</v>
      </c>
      <c r="Y20" s="8">
        <v>79.939749804139154</v>
      </c>
      <c r="Z20" s="8">
        <v>0</v>
      </c>
      <c r="AA20" s="8">
        <v>0</v>
      </c>
      <c r="AI20" t="s">
        <v>454</v>
      </c>
      <c r="AJ20" t="s">
        <v>453</v>
      </c>
      <c r="BD20">
        <v>4.6169316246058377E-2</v>
      </c>
      <c r="BE20">
        <v>5.0192803279118382E-2</v>
      </c>
      <c r="BG20">
        <f t="array" ref="BG20:BI24">LINEST(BI2:BI11,BD2:BF11,0,1)</f>
        <v>24357.585888557827</v>
      </c>
      <c r="BH20">
        <v>6.3637871684873948E-2</v>
      </c>
      <c r="BI20">
        <v>0.26298087494669747</v>
      </c>
      <c r="BV20">
        <v>68.837149705772589</v>
      </c>
      <c r="BW20">
        <v>103.78119203172228</v>
      </c>
      <c r="BX20">
        <v>0.17799670219051913</v>
      </c>
      <c r="BY20">
        <v>5.3648482996305778E-2</v>
      </c>
      <c r="CO20">
        <v>10723.779276472906</v>
      </c>
      <c r="CP20">
        <v>513.10141224761855</v>
      </c>
      <c r="CQ20">
        <v>44.128879377202708</v>
      </c>
      <c r="CR20">
        <v>0.14723799471246024</v>
      </c>
      <c r="CU20">
        <v>14663.685428838682</v>
      </c>
      <c r="CV20">
        <v>16588.118772746631</v>
      </c>
      <c r="CW20">
        <v>626.15820194887874</v>
      </c>
      <c r="CX20">
        <v>56.993530082257934</v>
      </c>
      <c r="CY20">
        <v>0.15199434141875659</v>
      </c>
      <c r="DA20">
        <v>17048.970717845015</v>
      </c>
      <c r="DB20">
        <v>600.41348015691085</v>
      </c>
      <c r="DC20">
        <v>58.701351829615142</v>
      </c>
      <c r="DD20">
        <v>0.15306036064045164</v>
      </c>
      <c r="DV20">
        <f>1-(((1-DX20)*(14))/(9))</f>
        <v>0.94336907910423595</v>
      </c>
      <c r="DX20">
        <v>0.96359440799558027</v>
      </c>
      <c r="DY20">
        <v>9158.3240973736538</v>
      </c>
      <c r="DZ20" t="e">
        <v>#N/A</v>
      </c>
      <c r="EA20" t="e">
        <v>#N/A</v>
      </c>
      <c r="EB20" t="e">
        <v>#N/A</v>
      </c>
      <c r="ED20">
        <v>0.92770175160795731</v>
      </c>
      <c r="EE20">
        <v>12305.506800412388</v>
      </c>
      <c r="EF20" t="e">
        <v>#N/A</v>
      </c>
      <c r="EG20" t="e">
        <v>#N/A</v>
      </c>
      <c r="EI20">
        <v>0.88268707491275133</v>
      </c>
      <c r="EJ20">
        <v>15007.704446735819</v>
      </c>
      <c r="EK20" t="e">
        <v>#N/A</v>
      </c>
      <c r="EM20">
        <v>0.86745411897003233</v>
      </c>
      <c r="EN20">
        <v>15326.514539239672</v>
      </c>
    </row>
    <row r="21" spans="1:144" x14ac:dyDescent="0.25">
      <c r="O21" s="11">
        <f>AVERAGE(O3:O19)</f>
        <v>180.31521151467717</v>
      </c>
      <c r="P21" s="11">
        <f>AVERAGE(P3:P19)</f>
        <v>199.43778670075241</v>
      </c>
      <c r="Q21" s="11">
        <f>AVERAGE(Q3:Q18)</f>
        <v>342.79657994732082</v>
      </c>
      <c r="R21" s="56">
        <v>36312</v>
      </c>
      <c r="S21" s="8">
        <v>367.93472468852985</v>
      </c>
      <c r="T21" s="8">
        <v>0.48344874382018999</v>
      </c>
      <c r="U21" s="8">
        <v>0</v>
      </c>
      <c r="V21" s="8">
        <v>92.651873171329498</v>
      </c>
      <c r="W21" s="8">
        <v>0.48344898223876998</v>
      </c>
      <c r="X21" s="8">
        <v>0</v>
      </c>
      <c r="Y21" s="8">
        <v>40.698505252599745</v>
      </c>
      <c r="Z21" s="8">
        <v>1.9727484554052337</v>
      </c>
      <c r="AA21" s="8">
        <v>0</v>
      </c>
      <c r="AI21">
        <f t="array" ref="AI21:AJ25">LINEST(AN2:AN11,AI2:AJ11,0,1)</f>
        <v>7.9104926034558598E-2</v>
      </c>
      <c r="AJ21">
        <v>0.21670647036658208</v>
      </c>
      <c r="BD21">
        <v>0.88760892636940381</v>
      </c>
      <c r="BE21">
        <v>12812.03478697661</v>
      </c>
      <c r="BG21">
        <v>10766.065084973465</v>
      </c>
      <c r="BH21">
        <v>3.7515019619674655E-2</v>
      </c>
      <c r="BI21">
        <v>4.1786246055180436E-2</v>
      </c>
      <c r="BV21">
        <v>0.92434277032183199</v>
      </c>
      <c r="BW21">
        <v>12137.990267771589</v>
      </c>
      <c r="BX21" t="e">
        <v>#N/A</v>
      </c>
      <c r="BY21" t="e">
        <v>#N/A</v>
      </c>
      <c r="CO21">
        <v>0.96883298902393444</v>
      </c>
      <c r="CP21">
        <v>7790.5683918518253</v>
      </c>
      <c r="CQ21" t="e">
        <v>#N/A</v>
      </c>
      <c r="CR21" t="e">
        <v>#N/A</v>
      </c>
      <c r="CU21">
        <v>0.92326952208101654</v>
      </c>
      <c r="CV21">
        <v>13295.844008760694</v>
      </c>
      <c r="CW21" t="e">
        <v>#N/A</v>
      </c>
      <c r="CX21" t="e">
        <v>#N/A</v>
      </c>
      <c r="CY21" t="e">
        <v>#N/A</v>
      </c>
      <c r="DA21">
        <v>0.90764648253724511</v>
      </c>
      <c r="DB21">
        <v>13907.924919014478</v>
      </c>
      <c r="DC21" t="e">
        <v>#N/A</v>
      </c>
      <c r="DD21" t="e">
        <v>#N/A</v>
      </c>
      <c r="DQ21" s="15">
        <f>DX18/DX19</f>
        <v>3.1399212198593642</v>
      </c>
      <c r="DR21" s="15">
        <f t="shared" ref="DR21:DU21" si="75">DY18/DY19</f>
        <v>3.8095536224311446</v>
      </c>
      <c r="DS21" s="15">
        <f t="shared" si="75"/>
        <v>3.5778731449200638</v>
      </c>
      <c r="DT21" s="15">
        <f t="shared" si="75"/>
        <v>5.5165410726497468</v>
      </c>
      <c r="DU21" s="15">
        <f t="shared" si="75"/>
        <v>7.8541136844089987</v>
      </c>
      <c r="DV21">
        <v>3.63</v>
      </c>
      <c r="DW21" t="s">
        <v>602</v>
      </c>
      <c r="DX21">
        <v>52.936615225407998</v>
      </c>
      <c r="DY21">
        <v>10</v>
      </c>
      <c r="DZ21" t="e">
        <v>#N/A</v>
      </c>
      <c r="EA21" t="e">
        <v>#N/A</v>
      </c>
      <c r="EB21" t="e">
        <v>#N/A</v>
      </c>
      <c r="ED21">
        <v>35.28688278985566</v>
      </c>
      <c r="EE21">
        <v>11</v>
      </c>
      <c r="EF21" t="e">
        <v>#N/A</v>
      </c>
      <c r="EG21" t="e">
        <v>#N/A</v>
      </c>
      <c r="EI21">
        <v>30.096839687741966</v>
      </c>
      <c r="EJ21">
        <v>12</v>
      </c>
      <c r="EK21" t="e">
        <v>#N/A</v>
      </c>
      <c r="EM21">
        <v>42.539622729056347</v>
      </c>
      <c r="EN21">
        <v>13</v>
      </c>
    </row>
    <row r="22" spans="1:144" x14ac:dyDescent="0.25">
      <c r="R22" s="56">
        <v>36342</v>
      </c>
      <c r="S22" s="8">
        <v>44.092903017997749</v>
      </c>
      <c r="T22" s="8">
        <v>103.63576555252081</v>
      </c>
      <c r="U22" s="8">
        <v>0</v>
      </c>
      <c r="V22" s="8">
        <v>0</v>
      </c>
      <c r="W22" s="8">
        <v>0</v>
      </c>
      <c r="X22" s="8">
        <v>0</v>
      </c>
      <c r="Y22" s="8">
        <v>70.085157075524393</v>
      </c>
      <c r="Z22" s="8">
        <v>0</v>
      </c>
      <c r="AA22" s="8">
        <v>0</v>
      </c>
      <c r="AI22">
        <v>9.6733806677985992E-2</v>
      </c>
      <c r="AJ22">
        <v>0.13660052395613748</v>
      </c>
      <c r="BD22">
        <v>31.59001503221765</v>
      </c>
      <c r="BE22">
        <v>8</v>
      </c>
      <c r="BG22">
        <v>0.9350803725390272</v>
      </c>
      <c r="BH22">
        <v>10409.651308424574</v>
      </c>
      <c r="BI22" t="e">
        <v>#N/A</v>
      </c>
      <c r="BV22">
        <v>18.326261236113542</v>
      </c>
      <c r="BW22">
        <v>6</v>
      </c>
      <c r="BX22" t="e">
        <v>#N/A</v>
      </c>
      <c r="BY22" t="e">
        <v>#N/A</v>
      </c>
      <c r="CO22">
        <v>46.627810560721173</v>
      </c>
      <c r="CP22">
        <v>6</v>
      </c>
      <c r="CQ22" t="e">
        <v>#N/A</v>
      </c>
      <c r="CR22" t="e">
        <v>#N/A</v>
      </c>
      <c r="CU22">
        <v>24.065261865196721</v>
      </c>
      <c r="CV22">
        <v>10</v>
      </c>
      <c r="CW22" t="e">
        <v>#N/A</v>
      </c>
      <c r="CX22" t="e">
        <v>#N/A</v>
      </c>
      <c r="CY22" t="e">
        <v>#N/A</v>
      </c>
      <c r="DA22">
        <v>27.026884254668932</v>
      </c>
      <c r="DB22">
        <v>11</v>
      </c>
      <c r="DC22" t="e">
        <v>#N/A</v>
      </c>
      <c r="DD22" t="e">
        <v>#N/A</v>
      </c>
      <c r="DQ22" s="75">
        <v>0.99</v>
      </c>
      <c r="DR22" s="76">
        <v>0.995</v>
      </c>
      <c r="DS22" s="76">
        <v>0.995</v>
      </c>
      <c r="DT22" s="76">
        <v>0.995</v>
      </c>
      <c r="DU22" s="76">
        <v>0.995</v>
      </c>
      <c r="DX22">
        <v>22200266613.983261</v>
      </c>
      <c r="DY22">
        <v>838749002.72534966</v>
      </c>
      <c r="DZ22" t="e">
        <v>#N/A</v>
      </c>
      <c r="EA22" t="e">
        <v>#N/A</v>
      </c>
      <c r="EB22" t="e">
        <v>#N/A</v>
      </c>
      <c r="ED22">
        <v>21373335142.943661</v>
      </c>
      <c r="EE22">
        <v>1665680473.764951</v>
      </c>
      <c r="EF22" t="e">
        <v>#N/A</v>
      </c>
      <c r="EG22" t="e">
        <v>#N/A</v>
      </c>
      <c r="EI22">
        <v>20336241303.581722</v>
      </c>
      <c r="EJ22">
        <v>2702774313.1268892</v>
      </c>
      <c r="EK22" t="e">
        <v>#N/A</v>
      </c>
      <c r="EM22">
        <v>19985288993.728783</v>
      </c>
      <c r="EN22">
        <v>3053726622.979826</v>
      </c>
    </row>
    <row r="23" spans="1:144" x14ac:dyDescent="0.25">
      <c r="R23" s="56">
        <v>36373</v>
      </c>
      <c r="S23" s="8">
        <v>505.4172531962393</v>
      </c>
      <c r="T23" s="8">
        <v>31.920736074447621</v>
      </c>
      <c r="U23" s="8">
        <v>0</v>
      </c>
      <c r="V23" s="8">
        <v>155.20896720886228</v>
      </c>
      <c r="W23" s="8">
        <v>7.400818824768062</v>
      </c>
      <c r="X23" s="8">
        <v>0</v>
      </c>
      <c r="Y23" s="8">
        <v>92.251842591166522</v>
      </c>
      <c r="Z23" s="8">
        <v>254.74484367901471</v>
      </c>
      <c r="AA23" s="8">
        <v>0</v>
      </c>
      <c r="AI23">
        <v>0.87245826608792032</v>
      </c>
      <c r="AJ23">
        <v>13648.293639837102</v>
      </c>
      <c r="BD23">
        <v>10370890446.502911</v>
      </c>
      <c r="BE23">
        <v>1313185883.0615902</v>
      </c>
      <c r="BG23">
        <v>33.608544717893054</v>
      </c>
      <c r="BH23">
        <v>7</v>
      </c>
      <c r="BI23" t="e">
        <v>#N/A</v>
      </c>
      <c r="BV23">
        <v>10800091483.121393</v>
      </c>
      <c r="BW23">
        <v>883984846.44310677</v>
      </c>
      <c r="BX23" t="e">
        <v>#N/A</v>
      </c>
      <c r="BY23" t="e">
        <v>#N/A</v>
      </c>
      <c r="CO23">
        <v>11319918594.355776</v>
      </c>
      <c r="CP23">
        <v>364157735.20872438</v>
      </c>
      <c r="CQ23" t="e">
        <v>#N/A</v>
      </c>
      <c r="CR23" t="e">
        <v>#N/A</v>
      </c>
      <c r="CU23">
        <v>21271220937.655636</v>
      </c>
      <c r="CV23">
        <v>1767794679.0529764</v>
      </c>
      <c r="CW23" t="e">
        <v>#N/A</v>
      </c>
      <c r="CX23" t="e">
        <v>#N/A</v>
      </c>
      <c r="CY23" t="e">
        <v>#N/A</v>
      </c>
      <c r="DA23">
        <v>20911281485.626228</v>
      </c>
      <c r="DB23">
        <v>2127734131.0823827</v>
      </c>
      <c r="DC23" t="e">
        <v>#N/A</v>
      </c>
      <c r="DD23" t="e">
        <v>#N/A</v>
      </c>
    </row>
    <row r="24" spans="1:144" x14ac:dyDescent="0.25">
      <c r="R24" s="56">
        <v>36404</v>
      </c>
      <c r="S24" s="8">
        <v>850.47120702266704</v>
      </c>
      <c r="T24" s="8">
        <v>0</v>
      </c>
      <c r="U24" s="8">
        <v>0</v>
      </c>
      <c r="V24" s="8">
        <v>2884.6249562017611</v>
      </c>
      <c r="W24" s="8">
        <v>0</v>
      </c>
      <c r="X24" s="8">
        <v>0</v>
      </c>
      <c r="Y24" s="8">
        <v>2332.1847342567517</v>
      </c>
      <c r="Z24" s="8">
        <v>204.73976289033885</v>
      </c>
      <c r="AA24" s="8">
        <v>0</v>
      </c>
      <c r="AI24">
        <v>27.362283366457799</v>
      </c>
      <c r="AJ24">
        <v>8</v>
      </c>
      <c r="BG24">
        <v>10925550447.023603</v>
      </c>
      <c r="BH24">
        <v>758525882.5408982</v>
      </c>
      <c r="BI24" t="e">
        <v>#N/A</v>
      </c>
      <c r="BU24" t="s">
        <v>322</v>
      </c>
      <c r="BV24">
        <f t="array" ref="BV24:BX28">LINEST(CC2:CC11,BW2:BY11,0,1)</f>
        <v>175.0707725616096</v>
      </c>
      <c r="BW24">
        <v>283.18749039742789</v>
      </c>
      <c r="BX24">
        <v>1.0605716712147542</v>
      </c>
      <c r="BY24" t="s">
        <v>323</v>
      </c>
      <c r="BZ24">
        <f t="array" ref="BZ24:CC28">LINEST(CC2:CC11,BW2:BZ11,0,1)</f>
        <v>725.24377198536081</v>
      </c>
      <c r="CA24">
        <v>163.02481955098023</v>
      </c>
      <c r="CB24">
        <v>234.40847602556218</v>
      </c>
      <c r="CC24">
        <v>0.84437573640915986</v>
      </c>
      <c r="CE24" t="s">
        <v>327</v>
      </c>
      <c r="CF24">
        <f t="array" ref="CF24:CJ28">LINEST(CC2:CC11,BW2:CA11,0,1)</f>
        <v>37865.627456128183</v>
      </c>
      <c r="CG24">
        <v>646.18075322680113</v>
      </c>
      <c r="CH24">
        <v>232.60466950175865</v>
      </c>
      <c r="CI24">
        <v>90.205979676066633</v>
      </c>
      <c r="CJ24">
        <v>0.75124958767614125</v>
      </c>
      <c r="CO24" s="24" t="s">
        <v>537</v>
      </c>
      <c r="CP24" s="24" t="s">
        <v>534</v>
      </c>
      <c r="CQ24" s="24" t="s">
        <v>547</v>
      </c>
      <c r="CR24" s="24" t="s">
        <v>546</v>
      </c>
      <c r="CS24" s="24" t="s">
        <v>250</v>
      </c>
      <c r="DW24" t="s">
        <v>561</v>
      </c>
      <c r="DX24">
        <f t="array" ref="DX24:EB28">LINEST(ED2:ED14,DX2:EB14,0,1)</f>
        <v>196.5207414367384</v>
      </c>
      <c r="DY24">
        <v>23275.517595324993</v>
      </c>
      <c r="DZ24">
        <v>47327.781568446539</v>
      </c>
      <c r="EA24">
        <v>8.2156778026729091E-2</v>
      </c>
      <c r="EB24">
        <v>0.63199845111881203</v>
      </c>
    </row>
    <row r="25" spans="1:144" x14ac:dyDescent="0.25">
      <c r="R25" s="56">
        <v>36434</v>
      </c>
      <c r="S25" s="8">
        <v>511.67482382059086</v>
      </c>
      <c r="T25" s="8">
        <v>18305.182443952432</v>
      </c>
      <c r="U25" s="8">
        <v>0</v>
      </c>
      <c r="V25" s="8">
        <v>14368.819826215506</v>
      </c>
      <c r="W25" s="8">
        <v>12012.896184973422</v>
      </c>
      <c r="X25" s="8">
        <v>0</v>
      </c>
      <c r="Y25" s="8">
        <v>454.80208934545522</v>
      </c>
      <c r="Z25" s="8">
        <v>3039.7157080991192</v>
      </c>
      <c r="AA25" s="8">
        <v>0</v>
      </c>
      <c r="AC25" t="s">
        <v>447</v>
      </c>
      <c r="AD25" t="s">
        <v>448</v>
      </c>
      <c r="AE25" t="s">
        <v>449</v>
      </c>
      <c r="AI25">
        <v>10193868975.330757</v>
      </c>
      <c r="AJ25">
        <v>1490207354.233743</v>
      </c>
      <c r="BV25">
        <v>51.401334680972305</v>
      </c>
      <c r="BW25">
        <v>82.18450832949739</v>
      </c>
      <c r="BX25">
        <v>0.1153859604790459</v>
      </c>
      <c r="BZ25">
        <v>825.64966377836959</v>
      </c>
      <c r="CA25">
        <v>54.030437972070779</v>
      </c>
      <c r="CB25">
        <v>100.32927322836878</v>
      </c>
      <c r="CC25">
        <v>0.27265649094113475</v>
      </c>
      <c r="CF25">
        <v>13206.870199918532</v>
      </c>
      <c r="CG25">
        <v>556.90736412269109</v>
      </c>
      <c r="CH25">
        <v>43.7476128973572</v>
      </c>
      <c r="CI25">
        <v>84.249701940850628</v>
      </c>
      <c r="CJ25">
        <v>0.18653309529028569</v>
      </c>
      <c r="CN25" t="s">
        <v>544</v>
      </c>
      <c r="CO25">
        <f t="array" ref="CO25:CS29">LINEST(CU2:CU11,CO2:CS11,0,1)</f>
        <v>-7503.7451837566605</v>
      </c>
      <c r="CP25">
        <v>43105.99004393223</v>
      </c>
      <c r="CQ25">
        <v>1178.684280165319</v>
      </c>
      <c r="CR25">
        <v>224.91807536223257</v>
      </c>
      <c r="CS25">
        <v>0.56338893782807453</v>
      </c>
      <c r="DX25">
        <v>43.780197125609277</v>
      </c>
      <c r="DY25">
        <v>6258.4455322416343</v>
      </c>
      <c r="DZ25">
        <v>9691.1193673711678</v>
      </c>
      <c r="EA25">
        <v>1.5321095960164061E-2</v>
      </c>
      <c r="EB25">
        <v>8.3037177197923931E-2</v>
      </c>
    </row>
    <row r="26" spans="1:144" x14ac:dyDescent="0.25">
      <c r="R26" s="56">
        <v>36465</v>
      </c>
      <c r="S26" s="8">
        <v>16.10897850990294</v>
      </c>
      <c r="T26" s="8">
        <v>31288.223187923439</v>
      </c>
      <c r="U26" s="8">
        <v>0</v>
      </c>
      <c r="V26" s="8">
        <v>775.87693142890976</v>
      </c>
      <c r="W26" s="8">
        <v>31451.630273312338</v>
      </c>
      <c r="X26" s="8">
        <v>0</v>
      </c>
      <c r="Y26" s="8">
        <v>1945.6645368933675</v>
      </c>
      <c r="Z26" s="8">
        <v>1196.2507369479633</v>
      </c>
      <c r="AA26" s="8">
        <v>0</v>
      </c>
      <c r="AB26" s="56">
        <f>R26</f>
        <v>36465</v>
      </c>
      <c r="AC26" s="8">
        <f>SUM(S22:S30)</f>
        <v>7683.9106507003307</v>
      </c>
      <c r="AD26" s="8">
        <f>SUM(V22:V30)+SUM(Y22:Y30)</f>
        <v>105956.93895946127</v>
      </c>
      <c r="AE26" s="8">
        <f>SUM(T14:T25)+SUM(U14:U25)+SUM(W14:W25)+SUM(X14:X25)+SUM(Z14:Z25)+SUM(AA14:AA25)</f>
        <v>137430.70957020944</v>
      </c>
      <c r="BV26">
        <v>0.92434178866623862</v>
      </c>
      <c r="BW26">
        <v>11237.668264635622</v>
      </c>
      <c r="BX26" t="e">
        <v>#N/A</v>
      </c>
      <c r="BZ26">
        <v>0.93296249746584659</v>
      </c>
      <c r="CA26">
        <v>11425.638541984003</v>
      </c>
      <c r="CB26" t="e">
        <v>#N/A</v>
      </c>
      <c r="CC26" t="e">
        <v>#N/A</v>
      </c>
      <c r="CF26">
        <v>0.97464610069185087</v>
      </c>
      <c r="CG26">
        <v>7697.2319020347477</v>
      </c>
      <c r="CH26" t="e">
        <v>#N/A</v>
      </c>
      <c r="CI26" t="e">
        <v>#N/A</v>
      </c>
      <c r="CJ26" t="e">
        <v>#N/A</v>
      </c>
      <c r="CO26">
        <v>10166.313249457886</v>
      </c>
      <c r="CP26">
        <v>11968.775761568424</v>
      </c>
      <c r="CQ26">
        <v>659.31061192739844</v>
      </c>
      <c r="CR26">
        <v>48.489201031183441</v>
      </c>
      <c r="CS26">
        <v>0.17524165470396263</v>
      </c>
      <c r="DA26">
        <f t="array" ref="DA26:DC30">LINEST(CU2:CU16,CO2:CQ16,0,1)</f>
        <v>2453.0260778045217</v>
      </c>
      <c r="DB26">
        <v>95.09075080550187</v>
      </c>
      <c r="DC26">
        <v>0.2570974795263376</v>
      </c>
      <c r="DX26">
        <v>0.97506539294493699</v>
      </c>
      <c r="DY26">
        <v>7630.782147356038</v>
      </c>
      <c r="DZ26" t="e">
        <v>#N/A</v>
      </c>
      <c r="EA26" t="e">
        <v>#N/A</v>
      </c>
      <c r="EB26" t="e">
        <v>#N/A</v>
      </c>
    </row>
    <row r="27" spans="1:144" x14ac:dyDescent="0.25">
      <c r="R27" s="56">
        <v>36495</v>
      </c>
      <c r="S27" s="8">
        <v>191.93224501609782</v>
      </c>
      <c r="T27" s="8">
        <v>79.117422267794623</v>
      </c>
      <c r="U27" s="8">
        <v>0</v>
      </c>
      <c r="V27" s="8">
        <v>2183.3319552615276</v>
      </c>
      <c r="W27" s="8">
        <v>45.236604372970817</v>
      </c>
      <c r="X27" s="8">
        <v>0</v>
      </c>
      <c r="Y27" s="8">
        <v>7169.6983391940594</v>
      </c>
      <c r="Z27" s="8">
        <v>71.393383765220662</v>
      </c>
      <c r="AA27" s="8">
        <v>0</v>
      </c>
      <c r="AC27" s="8">
        <f>SUM(S22:S26)+SUM(V22:V26)+SUM(Y22:Y26)</f>
        <v>25007.284206784701</v>
      </c>
      <c r="AE27" s="8">
        <f>SUM(T26:T30)+SUM(U26:U30)+SUM(W26:W30)+SUM(X26:X30)+SUM(Z26:Z30)+SUM(AA26:AA30)</f>
        <v>78251.939500945082</v>
      </c>
      <c r="BV27">
        <v>28.507117322313036</v>
      </c>
      <c r="BW27">
        <v>7</v>
      </c>
      <c r="BX27" t="e">
        <v>#N/A</v>
      </c>
      <c r="BZ27">
        <v>20.875535234711336</v>
      </c>
      <c r="CA27">
        <v>6</v>
      </c>
      <c r="CB27" t="e">
        <v>#N/A</v>
      </c>
      <c r="CC27" t="e">
        <v>#N/A</v>
      </c>
      <c r="CF27">
        <v>38.44166488342028</v>
      </c>
      <c r="CG27">
        <v>5</v>
      </c>
      <c r="CH27" t="e">
        <v>#N/A</v>
      </c>
      <c r="CI27" t="e">
        <v>#N/A</v>
      </c>
      <c r="CJ27" t="e">
        <v>#N/A</v>
      </c>
      <c r="CO27">
        <v>0.97189522903581826</v>
      </c>
      <c r="CP27">
        <v>8104.0519392514734</v>
      </c>
      <c r="CQ27" t="e">
        <v>#N/A</v>
      </c>
      <c r="CR27" t="e">
        <v>#N/A</v>
      </c>
      <c r="CS27" t="e">
        <v>#N/A</v>
      </c>
      <c r="DA27">
        <v>616.09527060858602</v>
      </c>
      <c r="DB27">
        <v>52.960258268409639</v>
      </c>
      <c r="DC27">
        <v>0.16209082016450432</v>
      </c>
      <c r="DX27">
        <v>62.567844974124718</v>
      </c>
      <c r="DY27">
        <v>8</v>
      </c>
      <c r="DZ27" t="e">
        <v>#N/A</v>
      </c>
      <c r="EA27" t="e">
        <v>#N/A</v>
      </c>
      <c r="EB27" t="e">
        <v>#N/A</v>
      </c>
    </row>
    <row r="28" spans="1:144" x14ac:dyDescent="0.25">
      <c r="R28" s="56">
        <v>36526</v>
      </c>
      <c r="S28" s="8">
        <v>1609.2269893586636</v>
      </c>
      <c r="T28" s="8">
        <v>7374.3115067295785</v>
      </c>
      <c r="U28" s="8">
        <v>0</v>
      </c>
      <c r="V28" s="8">
        <v>33036.475345894694</v>
      </c>
      <c r="W28" s="8">
        <v>122.64967779815207</v>
      </c>
      <c r="X28" s="8">
        <v>0</v>
      </c>
      <c r="Y28" s="8">
        <v>12949.278434008747</v>
      </c>
      <c r="Z28" s="8">
        <v>17.22129247188569</v>
      </c>
      <c r="AA28" s="8">
        <v>0</v>
      </c>
      <c r="BV28">
        <v>10800080013.382511</v>
      </c>
      <c r="BW28">
        <v>883996316.18199027</v>
      </c>
      <c r="BX28" t="e">
        <v>#N/A</v>
      </c>
      <c r="BZ28">
        <v>10900805033.012079</v>
      </c>
      <c r="CA28">
        <v>783271296.55242205</v>
      </c>
      <c r="CB28" t="e">
        <v>#N/A</v>
      </c>
      <c r="CC28" t="e">
        <v>#N/A</v>
      </c>
      <c r="CF28">
        <v>11387839434.795994</v>
      </c>
      <c r="CG28">
        <v>296236894.7685073</v>
      </c>
      <c r="CH28" t="e">
        <v>#N/A</v>
      </c>
      <c r="CI28" t="e">
        <v>#N/A</v>
      </c>
      <c r="CJ28" t="e">
        <v>#N/A</v>
      </c>
      <c r="CO28">
        <v>34.581147459783743</v>
      </c>
      <c r="CP28">
        <v>5</v>
      </c>
      <c r="CQ28" t="e">
        <v>#N/A</v>
      </c>
      <c r="CR28" t="e">
        <v>#N/A</v>
      </c>
      <c r="CS28" t="e">
        <v>#N/A</v>
      </c>
      <c r="DA28">
        <v>0.88574792760019172</v>
      </c>
      <c r="DB28">
        <v>14810.62479061486</v>
      </c>
      <c r="DC28" t="e">
        <v>#N/A</v>
      </c>
      <c r="DX28">
        <v>18216263975.797245</v>
      </c>
      <c r="DY28">
        <v>465830689.44326103</v>
      </c>
      <c r="DZ28" t="e">
        <v>#N/A</v>
      </c>
      <c r="EA28" t="e">
        <v>#N/A</v>
      </c>
      <c r="EB28" t="e">
        <v>#N/A</v>
      </c>
    </row>
    <row r="29" spans="1:144" x14ac:dyDescent="0.25">
      <c r="R29" s="56">
        <v>36557</v>
      </c>
      <c r="S29" s="8">
        <v>3357.3784090280533</v>
      </c>
      <c r="T29" s="8">
        <v>0.73331367969512895</v>
      </c>
      <c r="U29" s="8">
        <v>0</v>
      </c>
      <c r="V29" s="8">
        <v>15094.466754019264</v>
      </c>
      <c r="W29" s="8">
        <v>0</v>
      </c>
      <c r="X29" s="8">
        <v>0</v>
      </c>
      <c r="Y29" s="8">
        <v>8682.6990269422513</v>
      </c>
      <c r="Z29" s="8">
        <v>11.584085464477534</v>
      </c>
      <c r="AA29" s="8">
        <v>0</v>
      </c>
      <c r="CO29">
        <v>11355698040.394073</v>
      </c>
      <c r="CP29">
        <v>328378289.17042786</v>
      </c>
      <c r="CQ29" t="e">
        <v>#N/A</v>
      </c>
      <c r="CR29" t="e">
        <v>#N/A</v>
      </c>
      <c r="CS29" t="e">
        <v>#N/A</v>
      </c>
      <c r="DA29">
        <v>31.010305861259038</v>
      </c>
      <c r="DB29">
        <v>12</v>
      </c>
      <c r="DC29" t="e">
        <v>#N/A</v>
      </c>
    </row>
    <row r="30" spans="1:144" x14ac:dyDescent="0.25">
      <c r="R30" s="56">
        <v>36586</v>
      </c>
      <c r="S30" s="8">
        <v>597.60784173011803</v>
      </c>
      <c r="T30" s="8">
        <v>5893.9311394691504</v>
      </c>
      <c r="U30" s="8">
        <v>0</v>
      </c>
      <c r="V30" s="8">
        <v>2681.2070675492291</v>
      </c>
      <c r="W30" s="8">
        <v>1.3486286327242845</v>
      </c>
      <c r="X30" s="8">
        <v>0</v>
      </c>
      <c r="Y30" s="8">
        <v>1080.2629953742032</v>
      </c>
      <c r="Z30" s="8">
        <v>698.30824810968443</v>
      </c>
      <c r="AA30" s="8">
        <v>0</v>
      </c>
      <c r="DA30">
        <v>20406760336.448105</v>
      </c>
      <c r="DB30">
        <v>2632255280.2605057</v>
      </c>
      <c r="DC30" t="e">
        <v>#N/A</v>
      </c>
    </row>
    <row r="31" spans="1:144" x14ac:dyDescent="0.25">
      <c r="R31" s="56">
        <v>36617</v>
      </c>
      <c r="S31" s="8">
        <v>521.32049322128296</v>
      </c>
      <c r="T31" s="8">
        <v>2370.0977087616939</v>
      </c>
      <c r="U31" s="8">
        <v>0</v>
      </c>
      <c r="V31" s="8">
        <v>649.89797795424261</v>
      </c>
      <c r="W31" s="8">
        <v>0.2403219919651742</v>
      </c>
      <c r="X31" s="8">
        <v>0</v>
      </c>
      <c r="Y31" s="8">
        <v>3.6991836369037632</v>
      </c>
      <c r="Z31" s="8">
        <v>0</v>
      </c>
      <c r="AA31" s="8">
        <v>0</v>
      </c>
      <c r="CO31" t="s">
        <v>545</v>
      </c>
      <c r="CP31" s="15">
        <f>1-(((1-CO27)*9)/(4))</f>
        <v>0.93676426533059109</v>
      </c>
    </row>
    <row r="32" spans="1:144" x14ac:dyDescent="0.25">
      <c r="R32" s="56">
        <v>36647</v>
      </c>
      <c r="S32" s="8">
        <v>711.36307859420776</v>
      </c>
      <c r="T32" s="8">
        <v>8.7323166131973196</v>
      </c>
      <c r="U32" s="8">
        <v>0</v>
      </c>
      <c r="V32" s="8">
        <v>491.50271490216244</v>
      </c>
      <c r="W32" s="8">
        <v>0</v>
      </c>
      <c r="X32" s="8">
        <v>0</v>
      </c>
      <c r="Y32" s="8">
        <v>13.418880540132527</v>
      </c>
      <c r="Z32" s="8">
        <v>0</v>
      </c>
      <c r="AA32" s="8">
        <v>0</v>
      </c>
    </row>
    <row r="33" spans="18:31" x14ac:dyDescent="0.25">
      <c r="R33" s="56">
        <v>36678</v>
      </c>
      <c r="S33" s="8">
        <v>391.28664207458496</v>
      </c>
      <c r="T33" s="8">
        <v>0</v>
      </c>
      <c r="U33" s="8">
        <v>0</v>
      </c>
      <c r="V33" s="8">
        <v>201.15137821435928</v>
      </c>
      <c r="W33" s="8">
        <v>0</v>
      </c>
      <c r="X33" s="8">
        <v>0</v>
      </c>
      <c r="Y33" s="8">
        <v>38.751342982053764</v>
      </c>
      <c r="Z33" s="8">
        <v>0</v>
      </c>
      <c r="AA33" s="8">
        <v>0</v>
      </c>
    </row>
    <row r="34" spans="18:31" x14ac:dyDescent="0.25">
      <c r="R34" s="56">
        <v>36708</v>
      </c>
      <c r="S34" s="8">
        <v>181.62191581726066</v>
      </c>
      <c r="T34" s="8">
        <v>0</v>
      </c>
      <c r="U34" s="8">
        <v>0</v>
      </c>
      <c r="V34" s="8">
        <v>112.93760603666303</v>
      </c>
      <c r="W34" s="8">
        <v>0</v>
      </c>
      <c r="X34" s="8">
        <v>0</v>
      </c>
      <c r="Y34" s="8">
        <v>66.168089020252225</v>
      </c>
      <c r="Z34" s="8">
        <v>0</v>
      </c>
      <c r="AA34" s="8">
        <v>0</v>
      </c>
    </row>
    <row r="35" spans="18:31" x14ac:dyDescent="0.25">
      <c r="R35" s="56">
        <v>36739</v>
      </c>
      <c r="S35" s="8">
        <v>483.46912556886627</v>
      </c>
      <c r="T35" s="8">
        <v>0</v>
      </c>
      <c r="U35" s="8">
        <v>0</v>
      </c>
      <c r="V35" s="8">
        <v>195.88553996384144</v>
      </c>
      <c r="W35" s="8">
        <v>0</v>
      </c>
      <c r="X35" s="8">
        <v>0</v>
      </c>
      <c r="Y35" s="8">
        <v>96.284423021972174</v>
      </c>
      <c r="Z35" s="8">
        <v>6.129533576965331</v>
      </c>
      <c r="AA35" s="8">
        <v>0</v>
      </c>
    </row>
    <row r="36" spans="18:31" x14ac:dyDescent="0.25">
      <c r="R36" s="56">
        <v>36770</v>
      </c>
      <c r="S36" s="8">
        <v>972.57055211067177</v>
      </c>
      <c r="T36" s="8">
        <v>0</v>
      </c>
      <c r="U36" s="8">
        <v>0</v>
      </c>
      <c r="V36" s="8">
        <v>12842.145848393444</v>
      </c>
      <c r="W36" s="8">
        <v>0</v>
      </c>
      <c r="X36" s="8">
        <v>0</v>
      </c>
      <c r="Y36" s="8">
        <v>2243.0839820086958</v>
      </c>
      <c r="Z36" s="8">
        <v>49.365173840522786</v>
      </c>
      <c r="AA36" s="8">
        <v>0</v>
      </c>
    </row>
    <row r="37" spans="18:31" x14ac:dyDescent="0.25">
      <c r="R37" s="56">
        <v>36800</v>
      </c>
      <c r="S37" s="8">
        <v>2601.0694591104993</v>
      </c>
      <c r="T37" s="8">
        <v>0</v>
      </c>
      <c r="U37" s="8">
        <v>0</v>
      </c>
      <c r="V37" s="8">
        <v>17867.499596953392</v>
      </c>
      <c r="W37" s="8">
        <v>0</v>
      </c>
      <c r="X37" s="8">
        <v>0</v>
      </c>
      <c r="Y37" s="8">
        <v>845.77441485747715</v>
      </c>
      <c r="Z37" s="8">
        <v>103.96335937976833</v>
      </c>
      <c r="AA37" s="8">
        <v>0</v>
      </c>
    </row>
    <row r="38" spans="18:31" x14ac:dyDescent="0.25">
      <c r="R38" s="56">
        <v>36831</v>
      </c>
      <c r="S38" s="8">
        <v>2713.3903646469112</v>
      </c>
      <c r="T38" s="8">
        <v>56263.813358843327</v>
      </c>
      <c r="U38" s="8">
        <v>6577.5326671600342</v>
      </c>
      <c r="V38" s="8">
        <v>11836.861108303068</v>
      </c>
      <c r="W38" s="8">
        <v>40711.995568454273</v>
      </c>
      <c r="X38" s="8">
        <v>2849.25</v>
      </c>
      <c r="Y38" s="8">
        <v>501.30796719789498</v>
      </c>
      <c r="Z38" s="8">
        <v>8081.785309227721</v>
      </c>
      <c r="AA38" s="8">
        <v>3830.4864013671877</v>
      </c>
      <c r="AB38" s="56">
        <f>R38</f>
        <v>36831</v>
      </c>
      <c r="AC38" s="8">
        <f>SUM(S34:S42)</f>
        <v>9224.4744338393211</v>
      </c>
      <c r="AD38" s="8">
        <f>SUM(V34:V42)+SUM(Y34:Y42)</f>
        <v>70085.77603732422</v>
      </c>
      <c r="AE38" s="8">
        <f>SUM(T26:T37)+SUM(U26:U37)+SUM(W26:W37)+SUM(X26:X37)+SUM(Z26:Z37)+SUM(AA26:AA37)</f>
        <v>80790.467915109184</v>
      </c>
    </row>
    <row r="39" spans="18:31" x14ac:dyDescent="0.25">
      <c r="R39" s="56">
        <v>36861</v>
      </c>
      <c r="S39" s="8">
        <v>31.405799150466983</v>
      </c>
      <c r="T39" s="8">
        <v>28424.897210836411</v>
      </c>
      <c r="U39" s="8">
        <v>990.76986598968472</v>
      </c>
      <c r="V39" s="8">
        <v>368.10361725091923</v>
      </c>
      <c r="W39" s="8">
        <v>18329.585162910167</v>
      </c>
      <c r="X39" s="8">
        <v>0</v>
      </c>
      <c r="Y39" s="8">
        <v>64.502908018231395</v>
      </c>
      <c r="Z39" s="8">
        <v>764.31618493136557</v>
      </c>
      <c r="AA39" s="8">
        <v>0</v>
      </c>
      <c r="AC39" s="8">
        <f>SUM(S34:S38)+SUM(V34:V38)+SUM(Y34:Y38)</f>
        <v>53560.069993010911</v>
      </c>
      <c r="AE39" s="8">
        <f>SUM(T38:T42)+SUM(U38:U42)+SUM(W38:W42)+SUM(X38:X42)+SUM(Z38:Z42)+SUM(AA38:AA42)</f>
        <v>273064.03018370882</v>
      </c>
    </row>
    <row r="40" spans="18:31" x14ac:dyDescent="0.25">
      <c r="R40" s="56">
        <v>36892</v>
      </c>
      <c r="S40" s="8">
        <v>2215.3837301433077</v>
      </c>
      <c r="T40" s="8">
        <v>45.0361232757568</v>
      </c>
      <c r="U40" s="8">
        <v>8.8260987997055089</v>
      </c>
      <c r="V40" s="8">
        <v>21402.577036738396</v>
      </c>
      <c r="W40" s="8">
        <v>40.635882854461627</v>
      </c>
      <c r="X40" s="8">
        <v>0</v>
      </c>
      <c r="Y40" s="8">
        <v>917.38437339663551</v>
      </c>
      <c r="Z40" s="8">
        <v>182.50791101455684</v>
      </c>
      <c r="AA40" s="8">
        <v>1083.6123046875</v>
      </c>
    </row>
    <row r="41" spans="18:31" x14ac:dyDescent="0.25">
      <c r="R41" s="56">
        <v>36923</v>
      </c>
      <c r="S41" s="8">
        <v>0</v>
      </c>
      <c r="T41" s="8">
        <v>48252.63550314193</v>
      </c>
      <c r="U41" s="8">
        <v>6658.8392987251282</v>
      </c>
      <c r="V41" s="8">
        <v>183.22886562347406</v>
      </c>
      <c r="W41" s="8">
        <v>22809.793612480164</v>
      </c>
      <c r="X41" s="8">
        <v>4875.9221649169922</v>
      </c>
      <c r="Y41" s="8">
        <v>9.951193669438366</v>
      </c>
      <c r="Z41" s="8">
        <v>3719.9751744155774</v>
      </c>
      <c r="AA41" s="8">
        <v>1341.0570556640632</v>
      </c>
    </row>
    <row r="42" spans="18:31" x14ac:dyDescent="0.25">
      <c r="R42" s="56">
        <v>36951</v>
      </c>
      <c r="S42" s="8">
        <v>25.56348729133606</v>
      </c>
      <c r="T42" s="8">
        <v>16079.551179546866</v>
      </c>
      <c r="U42" s="8">
        <v>0</v>
      </c>
      <c r="V42" s="8">
        <v>521.82383909821499</v>
      </c>
      <c r="W42" s="8">
        <v>0</v>
      </c>
      <c r="X42" s="8">
        <v>0</v>
      </c>
      <c r="Y42" s="8">
        <v>10.25562777221203</v>
      </c>
      <c r="Z42" s="8">
        <v>1141.2061444659719</v>
      </c>
      <c r="AA42" s="8">
        <v>0</v>
      </c>
    </row>
    <row r="43" spans="18:31" x14ac:dyDescent="0.25">
      <c r="R43" s="56">
        <v>36982</v>
      </c>
      <c r="S43" s="8">
        <v>9.7342333793640208</v>
      </c>
      <c r="T43" s="8">
        <v>1322.4345475435257</v>
      </c>
      <c r="U43" s="8">
        <v>0</v>
      </c>
      <c r="V43" s="8">
        <v>664.40083038806915</v>
      </c>
      <c r="W43" s="8">
        <v>0</v>
      </c>
      <c r="X43" s="8">
        <v>0</v>
      </c>
      <c r="Y43" s="8">
        <v>3.1727465331554425</v>
      </c>
      <c r="Z43" s="8">
        <v>302.45329383392874</v>
      </c>
      <c r="AA43" s="8">
        <v>0</v>
      </c>
    </row>
    <row r="44" spans="18:31" x14ac:dyDescent="0.25">
      <c r="R44" s="56">
        <v>37012</v>
      </c>
      <c r="S44" s="8">
        <v>0</v>
      </c>
      <c r="T44" s="8">
        <v>0</v>
      </c>
      <c r="U44" s="8">
        <v>0</v>
      </c>
      <c r="V44" s="8">
        <v>30.195053756236998</v>
      </c>
      <c r="W44" s="8">
        <v>0</v>
      </c>
      <c r="X44" s="8">
        <v>0</v>
      </c>
      <c r="Y44" s="8">
        <v>3.4851121723651866</v>
      </c>
      <c r="Z44" s="8">
        <v>0</v>
      </c>
      <c r="AA44" s="8">
        <v>0</v>
      </c>
    </row>
    <row r="45" spans="18:31" x14ac:dyDescent="0.25">
      <c r="R45" s="56">
        <v>37043</v>
      </c>
      <c r="S45" s="8">
        <v>27.249514400959018</v>
      </c>
      <c r="T45" s="8">
        <v>14.86059165000915</v>
      </c>
      <c r="U45" s="8">
        <v>0</v>
      </c>
      <c r="V45" s="8">
        <v>5.5858957916498184</v>
      </c>
      <c r="W45" s="8">
        <v>0</v>
      </c>
      <c r="X45" s="8">
        <v>0</v>
      </c>
      <c r="Y45" s="8">
        <v>1.4462684452533723</v>
      </c>
      <c r="Z45" s="8">
        <v>0</v>
      </c>
      <c r="AA45" s="8">
        <v>0</v>
      </c>
    </row>
    <row r="46" spans="18:31" x14ac:dyDescent="0.25">
      <c r="R46" s="56">
        <v>37073</v>
      </c>
      <c r="S46" s="8">
        <v>133.08335816860196</v>
      </c>
      <c r="T46" s="8">
        <v>1581.7921400070195</v>
      </c>
      <c r="U46" s="8">
        <v>0</v>
      </c>
      <c r="V46" s="8">
        <v>35.166317939758329</v>
      </c>
      <c r="W46" s="8">
        <v>0</v>
      </c>
      <c r="X46" s="8">
        <v>0</v>
      </c>
      <c r="Y46" s="8">
        <v>9.5307504057884298</v>
      </c>
      <c r="Z46" s="8">
        <v>19.25</v>
      </c>
      <c r="AA46" s="8">
        <v>0</v>
      </c>
    </row>
    <row r="47" spans="18:31" x14ac:dyDescent="0.25">
      <c r="R47" s="56">
        <v>37104</v>
      </c>
      <c r="S47" s="8">
        <v>29.242379188537598</v>
      </c>
      <c r="T47" s="8">
        <v>2756.2103271484389</v>
      </c>
      <c r="U47" s="8">
        <v>0</v>
      </c>
      <c r="V47" s="8">
        <v>0</v>
      </c>
      <c r="W47" s="8">
        <v>0</v>
      </c>
      <c r="X47" s="8">
        <v>0</v>
      </c>
      <c r="Y47" s="8">
        <v>1.4529509305953983</v>
      </c>
      <c r="Z47" s="8">
        <v>0</v>
      </c>
      <c r="AA47" s="8">
        <v>0</v>
      </c>
    </row>
    <row r="48" spans="18:31" x14ac:dyDescent="0.25">
      <c r="R48" s="56">
        <v>37135</v>
      </c>
      <c r="S48" s="8">
        <v>157.80480051040647</v>
      </c>
      <c r="T48" s="8">
        <v>10.921875</v>
      </c>
      <c r="U48" s="8">
        <v>0</v>
      </c>
      <c r="V48" s="8">
        <v>3064.4769056439404</v>
      </c>
      <c r="W48" s="8">
        <v>0</v>
      </c>
      <c r="X48" s="8">
        <v>0</v>
      </c>
      <c r="Y48" s="8">
        <v>91.0746138095856</v>
      </c>
      <c r="Z48" s="8">
        <v>0</v>
      </c>
      <c r="AA48" s="8">
        <v>0</v>
      </c>
    </row>
    <row r="49" spans="18:31" x14ac:dyDescent="0.25">
      <c r="R49" s="56">
        <v>37165</v>
      </c>
      <c r="S49" s="8">
        <v>210.21618556976318</v>
      </c>
      <c r="T49" s="8">
        <v>0</v>
      </c>
      <c r="U49" s="8">
        <v>0</v>
      </c>
      <c r="V49" s="8">
        <v>13933.78984618187</v>
      </c>
      <c r="W49" s="8">
        <v>0</v>
      </c>
      <c r="X49" s="8">
        <v>0</v>
      </c>
      <c r="Y49" s="8">
        <v>112.16831156015397</v>
      </c>
      <c r="Z49" s="8">
        <v>0</v>
      </c>
      <c r="AA49" s="8">
        <v>0</v>
      </c>
    </row>
    <row r="50" spans="18:31" x14ac:dyDescent="0.25">
      <c r="R50" s="56">
        <v>37196</v>
      </c>
      <c r="S50" s="8">
        <v>108.28072762489322</v>
      </c>
      <c r="T50" s="8">
        <v>11383.403689980507</v>
      </c>
      <c r="U50" s="8">
        <v>1380</v>
      </c>
      <c r="V50" s="8">
        <v>19089.99699473381</v>
      </c>
      <c r="W50" s="8">
        <v>6583.4417383670789</v>
      </c>
      <c r="X50" s="8">
        <v>234</v>
      </c>
      <c r="Y50" s="8">
        <v>525.31036556437607</v>
      </c>
      <c r="Z50" s="8">
        <v>2608.8644490147017</v>
      </c>
      <c r="AA50" s="8">
        <v>0</v>
      </c>
      <c r="AB50" s="56">
        <f>R50</f>
        <v>37196</v>
      </c>
      <c r="AC50" s="8">
        <f>SUM(S46:S54)</f>
        <v>23958.414027273659</v>
      </c>
      <c r="AD50" s="8">
        <f>SUM(V46:V54)+SUM(Y46:Y54)</f>
        <v>169896.15815191012</v>
      </c>
      <c r="AE50" s="8">
        <f>SUM(T38:T49)+SUM(U38:U49)+SUM(W38:W49)+SUM(X38:X49)+SUM(Z38:Z49)+SUM(AA38:AA49)</f>
        <v>279071.95295889175</v>
      </c>
    </row>
    <row r="51" spans="18:31" x14ac:dyDescent="0.25">
      <c r="R51" s="56">
        <v>37226</v>
      </c>
      <c r="S51" s="8">
        <v>156.66490125656134</v>
      </c>
      <c r="T51" s="8">
        <v>8913.4373166561109</v>
      </c>
      <c r="U51" s="8">
        <v>0</v>
      </c>
      <c r="V51" s="8">
        <v>22561.447006583221</v>
      </c>
      <c r="W51" s="8">
        <v>18188.524998351953</v>
      </c>
      <c r="X51" s="8">
        <v>0</v>
      </c>
      <c r="Y51" s="8">
        <v>76.034783140569957</v>
      </c>
      <c r="Z51" s="8">
        <v>529.76176175662647</v>
      </c>
      <c r="AA51" s="8">
        <v>0</v>
      </c>
      <c r="AC51" s="8">
        <f>SUM(S46:S50)+SUM(V46:V50)+SUM(Y46:Y50)</f>
        <v>37501.59450783208</v>
      </c>
      <c r="AE51" s="8">
        <f>SUM(T50:T54)+SUM(U50:U54)+SUM(W50:W54)+SUM(X50:X54)+SUM(Z50:Z54)+SUM(AA50:AA54)</f>
        <v>55783.259166815536</v>
      </c>
    </row>
    <row r="52" spans="18:31" x14ac:dyDescent="0.25">
      <c r="R52" s="56">
        <v>37257</v>
      </c>
      <c r="S52" s="8">
        <v>14614.213578462603</v>
      </c>
      <c r="T52" s="8">
        <v>57.942092418670725</v>
      </c>
      <c r="U52" s="8">
        <v>0</v>
      </c>
      <c r="V52" s="8">
        <v>56006.422859802842</v>
      </c>
      <c r="W52" s="8">
        <v>81.184525012969942</v>
      </c>
      <c r="X52" s="8">
        <v>0</v>
      </c>
      <c r="Y52" s="8">
        <v>10897.090903769516</v>
      </c>
      <c r="Z52" s="8">
        <v>95.883394241333079</v>
      </c>
      <c r="AA52" s="8">
        <v>0</v>
      </c>
    </row>
    <row r="53" spans="18:31" x14ac:dyDescent="0.25">
      <c r="R53" s="56">
        <v>37288</v>
      </c>
      <c r="S53" s="8">
        <v>7137.4651934504527</v>
      </c>
      <c r="T53" s="8">
        <v>0</v>
      </c>
      <c r="U53" s="8">
        <v>0</v>
      </c>
      <c r="V53" s="8">
        <v>26374.630520701416</v>
      </c>
      <c r="W53" s="8">
        <v>0</v>
      </c>
      <c r="X53" s="8">
        <v>0</v>
      </c>
      <c r="Y53" s="8">
        <v>6998.869486435502</v>
      </c>
      <c r="Z53" s="8">
        <v>139.18560204040267</v>
      </c>
      <c r="AA53" s="8">
        <v>0</v>
      </c>
    </row>
    <row r="54" spans="18:31" x14ac:dyDescent="0.25">
      <c r="R54" s="56">
        <v>37316</v>
      </c>
      <c r="S54" s="8">
        <v>1411.4429030418394</v>
      </c>
      <c r="T54" s="8">
        <v>4257.5851043388247</v>
      </c>
      <c r="U54" s="8">
        <v>240</v>
      </c>
      <c r="V54" s="8">
        <v>7671.093028068547</v>
      </c>
      <c r="W54" s="8">
        <v>581.70528310537429</v>
      </c>
      <c r="X54" s="8">
        <v>0</v>
      </c>
      <c r="Y54" s="8">
        <v>2447.6025066386437</v>
      </c>
      <c r="Z54" s="8">
        <v>508.33921153098402</v>
      </c>
      <c r="AA54" s="8">
        <v>0</v>
      </c>
    </row>
    <row r="55" spans="18:31" x14ac:dyDescent="0.25">
      <c r="R55" s="56">
        <v>37347</v>
      </c>
      <c r="S55" s="8">
        <v>0</v>
      </c>
      <c r="T55" s="8">
        <v>24854.903618223972</v>
      </c>
      <c r="U55" s="8">
        <v>0</v>
      </c>
      <c r="V55" s="8">
        <v>38.449197292327902</v>
      </c>
      <c r="W55" s="8">
        <v>14269.75197464228</v>
      </c>
      <c r="X55" s="8">
        <v>0</v>
      </c>
      <c r="Y55" s="8">
        <v>13.390766659379009</v>
      </c>
      <c r="Z55" s="8">
        <v>542.47369191646578</v>
      </c>
      <c r="AA55" s="8">
        <v>0</v>
      </c>
    </row>
    <row r="56" spans="18:31" x14ac:dyDescent="0.25">
      <c r="R56" s="56">
        <v>37377</v>
      </c>
      <c r="S56" s="8">
        <v>382.16694384813303</v>
      </c>
      <c r="T56" s="8">
        <v>0</v>
      </c>
      <c r="U56" s="8">
        <v>0</v>
      </c>
      <c r="V56" s="8">
        <v>278.76015877723688</v>
      </c>
      <c r="W56" s="8">
        <v>0</v>
      </c>
      <c r="X56" s="8">
        <v>0</v>
      </c>
      <c r="Y56" s="8">
        <v>11.752388483285907</v>
      </c>
      <c r="Z56" s="8">
        <v>0</v>
      </c>
      <c r="AA56" s="8">
        <v>0</v>
      </c>
    </row>
    <row r="57" spans="18:31" x14ac:dyDescent="0.25">
      <c r="R57" s="56">
        <v>37408</v>
      </c>
      <c r="S57" s="8">
        <v>206.37887156009671</v>
      </c>
      <c r="T57" s="8">
        <v>0</v>
      </c>
      <c r="U57" s="8">
        <v>0</v>
      </c>
      <c r="V57" s="8">
        <v>270.02840930223471</v>
      </c>
      <c r="W57" s="8">
        <v>0</v>
      </c>
      <c r="X57" s="8">
        <v>0</v>
      </c>
      <c r="Y57" s="8">
        <v>43.539316585659989</v>
      </c>
      <c r="Z57" s="8">
        <v>0</v>
      </c>
      <c r="AA57" s="8">
        <v>0</v>
      </c>
    </row>
    <row r="58" spans="18:31" x14ac:dyDescent="0.25">
      <c r="R58" s="56">
        <v>37438</v>
      </c>
      <c r="S58" s="8">
        <v>291.08889126777655</v>
      </c>
      <c r="T58" s="8">
        <v>0</v>
      </c>
      <c r="U58" s="8">
        <v>0</v>
      </c>
      <c r="V58" s="8">
        <v>447.4267498850823</v>
      </c>
      <c r="W58" s="8">
        <v>0</v>
      </c>
      <c r="X58" s="8">
        <v>0</v>
      </c>
      <c r="Y58" s="8">
        <v>91.829891860485077</v>
      </c>
      <c r="Z58" s="8">
        <v>0</v>
      </c>
      <c r="AA58" s="8">
        <v>0</v>
      </c>
    </row>
    <row r="59" spans="18:31" x14ac:dyDescent="0.25">
      <c r="R59" s="56">
        <v>37469</v>
      </c>
      <c r="S59" s="8">
        <v>315.71009107492876</v>
      </c>
      <c r="T59" s="8">
        <v>0</v>
      </c>
      <c r="U59" s="8">
        <v>0</v>
      </c>
      <c r="V59" s="8">
        <v>429.70609664916998</v>
      </c>
      <c r="W59" s="8">
        <v>0</v>
      </c>
      <c r="X59" s="8">
        <v>0</v>
      </c>
      <c r="Y59" s="8">
        <v>79.25775462985041</v>
      </c>
      <c r="Z59" s="8">
        <v>21.796887207031304</v>
      </c>
      <c r="AA59" s="8">
        <v>0</v>
      </c>
    </row>
    <row r="60" spans="18:31" x14ac:dyDescent="0.25">
      <c r="R60" s="56">
        <v>37500</v>
      </c>
      <c r="S60" s="8">
        <v>1080.888467431068</v>
      </c>
      <c r="T60" s="8">
        <v>0</v>
      </c>
      <c r="U60" s="8">
        <v>0</v>
      </c>
      <c r="V60" s="8">
        <v>5453.7538590431213</v>
      </c>
      <c r="W60" s="8">
        <v>0</v>
      </c>
      <c r="X60" s="8">
        <v>0</v>
      </c>
      <c r="Y60" s="8">
        <v>1703.0241755723957</v>
      </c>
      <c r="Z60" s="8">
        <v>65.261118240468164</v>
      </c>
      <c r="AA60" s="8">
        <v>0</v>
      </c>
    </row>
    <row r="61" spans="18:31" x14ac:dyDescent="0.25">
      <c r="R61" s="56">
        <v>37530</v>
      </c>
      <c r="S61" s="8">
        <v>988.98297000676405</v>
      </c>
      <c r="T61" s="8">
        <v>0</v>
      </c>
      <c r="U61" s="8">
        <v>0</v>
      </c>
      <c r="V61" s="8">
        <v>23852.466528654095</v>
      </c>
      <c r="W61" s="8">
        <v>0</v>
      </c>
      <c r="X61" s="8">
        <v>0</v>
      </c>
      <c r="Y61" s="8">
        <v>659.67497822046323</v>
      </c>
      <c r="Z61" s="8">
        <v>0</v>
      </c>
      <c r="AA61" s="8">
        <v>0</v>
      </c>
    </row>
    <row r="62" spans="18:31" x14ac:dyDescent="0.25">
      <c r="R62" s="56">
        <v>37561</v>
      </c>
      <c r="S62" s="8">
        <v>411.39623335003853</v>
      </c>
      <c r="T62" s="8">
        <v>0</v>
      </c>
      <c r="U62" s="8">
        <v>0</v>
      </c>
      <c r="V62" s="8">
        <v>27954.029708087448</v>
      </c>
      <c r="W62" s="8">
        <v>0</v>
      </c>
      <c r="X62" s="8">
        <v>0</v>
      </c>
      <c r="Y62" s="8">
        <v>1003.7554872035982</v>
      </c>
      <c r="Z62" s="8">
        <v>0</v>
      </c>
      <c r="AA62" s="8">
        <v>0</v>
      </c>
      <c r="AB62" s="56">
        <f>R62</f>
        <v>37561</v>
      </c>
      <c r="AC62" s="8">
        <f>SUM(S58:S66)</f>
        <v>7156.0003834422678</v>
      </c>
      <c r="AD62" s="8">
        <f>SUM(V58:V66)+SUM(Y58:Y66)</f>
        <v>118615.21326398737</v>
      </c>
      <c r="AE62" s="8">
        <f>SUM(T50:T61)+SUM(U50:U61)+SUM(W50:W61)+SUM(X50:X61)+SUM(Z50:Z61)+SUM(AA50:AA61)</f>
        <v>95537.446457045749</v>
      </c>
    </row>
    <row r="63" spans="18:31" x14ac:dyDescent="0.25">
      <c r="R63" s="56">
        <v>37591</v>
      </c>
      <c r="S63" s="8">
        <v>2279.1098503321409</v>
      </c>
      <c r="T63" s="8">
        <v>0</v>
      </c>
      <c r="U63" s="8">
        <v>0</v>
      </c>
      <c r="V63" s="8">
        <v>25071.04490456358</v>
      </c>
      <c r="W63" s="8">
        <v>0</v>
      </c>
      <c r="X63" s="8">
        <v>0</v>
      </c>
      <c r="Y63" s="8">
        <v>1525.8361609697342</v>
      </c>
      <c r="Z63" s="8">
        <v>30.877377009391815</v>
      </c>
      <c r="AA63" s="8">
        <v>0</v>
      </c>
      <c r="AC63" s="8">
        <f>SUM(S58:S62)+SUM(V58:V62)+SUM(Y58:Y62)</f>
        <v>64762.991882936287</v>
      </c>
      <c r="AE63" s="8">
        <f>SUM(T62:T66)+SUM(U62:U66)+SUM(W62:W66)+SUM(X62:X66)+SUM(Z62:Z66)+SUM(AA62:AA66)</f>
        <v>44587.616178743112</v>
      </c>
    </row>
    <row r="64" spans="18:31" x14ac:dyDescent="0.25">
      <c r="R64" s="56">
        <v>37622</v>
      </c>
      <c r="S64" s="8">
        <v>1139.3128963708875</v>
      </c>
      <c r="T64" s="8">
        <v>0</v>
      </c>
      <c r="U64" s="8">
        <v>0</v>
      </c>
      <c r="V64" s="8">
        <v>15195.796943068506</v>
      </c>
      <c r="W64" s="8">
        <v>0</v>
      </c>
      <c r="X64" s="8">
        <v>0</v>
      </c>
      <c r="Y64" s="8">
        <v>2405.5338265039031</v>
      </c>
      <c r="Z64" s="8">
        <v>0</v>
      </c>
      <c r="AA64" s="8">
        <v>0</v>
      </c>
    </row>
    <row r="65" spans="18:31" x14ac:dyDescent="0.25">
      <c r="R65" s="56">
        <v>37653</v>
      </c>
      <c r="S65" s="8">
        <v>183.27898466587087</v>
      </c>
      <c r="T65" s="8">
        <v>13336.958973124632</v>
      </c>
      <c r="U65" s="8">
        <v>0</v>
      </c>
      <c r="V65" s="8">
        <v>4076.4965727925282</v>
      </c>
      <c r="W65" s="8">
        <v>8185.5064611434991</v>
      </c>
      <c r="X65" s="8">
        <v>0</v>
      </c>
      <c r="Y65" s="8">
        <v>728.03710442669706</v>
      </c>
      <c r="Z65" s="8">
        <v>3461.465565069022</v>
      </c>
      <c r="AA65" s="8">
        <v>0</v>
      </c>
    </row>
    <row r="66" spans="18:31" x14ac:dyDescent="0.25">
      <c r="R66" s="56">
        <v>37681</v>
      </c>
      <c r="S66" s="8">
        <v>466.2319989427923</v>
      </c>
      <c r="T66" s="8">
        <v>9475.2671622112412</v>
      </c>
      <c r="U66" s="8">
        <v>0</v>
      </c>
      <c r="V66" s="8">
        <v>7898.4271270632753</v>
      </c>
      <c r="W66" s="8">
        <v>8010.7268831096626</v>
      </c>
      <c r="X66" s="8">
        <v>0</v>
      </c>
      <c r="Y66" s="8">
        <v>39.115394793450861</v>
      </c>
      <c r="Z66" s="8">
        <v>1733.5493527787851</v>
      </c>
      <c r="AA66" s="8">
        <v>353.264404296875</v>
      </c>
    </row>
    <row r="67" spans="18:31" x14ac:dyDescent="0.25">
      <c r="R67" s="56">
        <v>37712</v>
      </c>
      <c r="S67" s="8">
        <v>209.3018858060239</v>
      </c>
      <c r="T67" s="8">
        <v>83.875344239175305</v>
      </c>
      <c r="U67" s="8">
        <v>0</v>
      </c>
      <c r="V67" s="8">
        <v>150.7874576151371</v>
      </c>
      <c r="W67" s="8">
        <v>55.280956812202987</v>
      </c>
      <c r="X67" s="8">
        <v>0</v>
      </c>
      <c r="Y67" s="8">
        <v>2.3267057150602368</v>
      </c>
      <c r="Z67" s="8">
        <v>96.343181385868178</v>
      </c>
      <c r="AA67" s="8">
        <v>0</v>
      </c>
    </row>
    <row r="68" spans="18:31" x14ac:dyDescent="0.25">
      <c r="R68" s="56">
        <v>37742</v>
      </c>
      <c r="S68" s="8">
        <v>15.367919627577072</v>
      </c>
      <c r="T68" s="8">
        <v>51.221792288124561</v>
      </c>
      <c r="U68" s="8">
        <v>0</v>
      </c>
      <c r="V68" s="8">
        <v>274.88882578909397</v>
      </c>
      <c r="W68" s="8">
        <v>73.656089007854433</v>
      </c>
      <c r="X68" s="8">
        <v>0</v>
      </c>
      <c r="Y68" s="8">
        <v>22.345268905162822</v>
      </c>
      <c r="Z68" s="8">
        <v>97.068968930654151</v>
      </c>
      <c r="AA68" s="8">
        <v>0</v>
      </c>
    </row>
    <row r="69" spans="18:31" x14ac:dyDescent="0.25">
      <c r="R69" s="56">
        <v>37773</v>
      </c>
      <c r="S69" s="8">
        <v>155.63623630255464</v>
      </c>
      <c r="T69" s="8">
        <v>0</v>
      </c>
      <c r="U69" s="8">
        <v>0</v>
      </c>
      <c r="V69" s="8">
        <v>158.2396373003721</v>
      </c>
      <c r="W69" s="8">
        <v>0</v>
      </c>
      <c r="X69" s="8">
        <v>0</v>
      </c>
      <c r="Y69" s="8">
        <v>71.412405809760088</v>
      </c>
      <c r="Z69" s="8">
        <v>0</v>
      </c>
      <c r="AA69" s="8">
        <v>0</v>
      </c>
    </row>
    <row r="70" spans="18:31" x14ac:dyDescent="0.25">
      <c r="R70" s="56">
        <v>37803</v>
      </c>
      <c r="S70" s="8">
        <v>129.0544665157795</v>
      </c>
      <c r="T70" s="8">
        <v>0</v>
      </c>
      <c r="U70" s="8">
        <v>0</v>
      </c>
      <c r="V70" s="8">
        <v>1.758984312415123</v>
      </c>
      <c r="W70" s="8">
        <v>0</v>
      </c>
      <c r="X70" s="8">
        <v>0</v>
      </c>
      <c r="Y70" s="8">
        <v>98.76637222357094</v>
      </c>
      <c r="Z70" s="8">
        <v>0</v>
      </c>
      <c r="AA70" s="8">
        <v>0</v>
      </c>
    </row>
    <row r="71" spans="18:31" x14ac:dyDescent="0.25">
      <c r="R71" s="56">
        <v>37834</v>
      </c>
      <c r="S71" s="8">
        <v>359.59349991381163</v>
      </c>
      <c r="T71" s="8">
        <v>0</v>
      </c>
      <c r="U71" s="8">
        <v>0</v>
      </c>
      <c r="V71" s="8">
        <v>480.34515285491989</v>
      </c>
      <c r="W71" s="8">
        <v>0</v>
      </c>
      <c r="X71" s="8">
        <v>0</v>
      </c>
      <c r="Y71" s="8">
        <v>100.76040459275247</v>
      </c>
      <c r="Z71" s="8">
        <v>136.88851656336342</v>
      </c>
      <c r="AA71" s="8">
        <v>0</v>
      </c>
    </row>
    <row r="72" spans="18:31" x14ac:dyDescent="0.25">
      <c r="R72" s="56">
        <v>37865</v>
      </c>
      <c r="S72" s="8">
        <v>1229.7151455655694</v>
      </c>
      <c r="T72" s="8">
        <v>0</v>
      </c>
      <c r="U72" s="8">
        <v>0</v>
      </c>
      <c r="V72" s="8">
        <v>17616.681725025177</v>
      </c>
      <c r="W72" s="8">
        <v>0</v>
      </c>
      <c r="X72" s="8">
        <v>0</v>
      </c>
      <c r="Y72" s="8">
        <v>456.97823979258521</v>
      </c>
      <c r="Z72" s="8">
        <v>2.4680779457092261</v>
      </c>
      <c r="AA72" s="8">
        <v>0</v>
      </c>
    </row>
    <row r="73" spans="18:31" x14ac:dyDescent="0.25">
      <c r="R73" s="56">
        <v>37895</v>
      </c>
      <c r="S73" s="8">
        <v>547.61285662651051</v>
      </c>
      <c r="T73" s="8">
        <v>15431.450732022524</v>
      </c>
      <c r="U73" s="8">
        <v>0</v>
      </c>
      <c r="V73" s="8">
        <v>2904.9263165593115</v>
      </c>
      <c r="W73" s="8">
        <v>13908.022044930603</v>
      </c>
      <c r="X73" s="8">
        <v>0</v>
      </c>
      <c r="Y73" s="8">
        <v>60.073022115975633</v>
      </c>
      <c r="Z73" s="8">
        <v>343.55484025543552</v>
      </c>
      <c r="AA73" s="8">
        <v>0</v>
      </c>
    </row>
    <row r="74" spans="18:31" x14ac:dyDescent="0.25">
      <c r="R74" s="56">
        <v>37926</v>
      </c>
      <c r="S74" s="8">
        <v>291.45572531223297</v>
      </c>
      <c r="T74" s="8">
        <v>0</v>
      </c>
      <c r="U74" s="8">
        <v>0</v>
      </c>
      <c r="V74" s="8">
        <v>4371.6149263083935</v>
      </c>
      <c r="W74" s="8">
        <v>0.61755275726318404</v>
      </c>
      <c r="X74" s="8">
        <v>0</v>
      </c>
      <c r="Y74" s="8">
        <v>565.46084770560276</v>
      </c>
      <c r="Z74" s="8">
        <v>0</v>
      </c>
      <c r="AA74" s="8">
        <v>0</v>
      </c>
      <c r="AB74" s="56">
        <f>R74</f>
        <v>37926</v>
      </c>
      <c r="AC74" s="8">
        <f>SUM(S70:S78)</f>
        <v>4819.6700026541948</v>
      </c>
      <c r="AD74" s="8">
        <f>SUM(V70:V78)+SUM(Y70:Y78)</f>
        <v>47313.40127799772</v>
      </c>
      <c r="AE74" s="8">
        <f>SUM(T62:T73)+SUM(U62:U73)+SUM(W62:W73)+SUM(X62:X73)+SUM(Z62:Z73)+SUM(AA62:AA73)</f>
        <v>74867.446723124638</v>
      </c>
    </row>
    <row r="75" spans="18:31" x14ac:dyDescent="0.25">
      <c r="R75" s="56">
        <v>37956</v>
      </c>
      <c r="S75" s="8">
        <v>1060.1386609673502</v>
      </c>
      <c r="T75" s="8">
        <v>21351.413697719574</v>
      </c>
      <c r="U75" s="8">
        <v>270</v>
      </c>
      <c r="V75" s="8">
        <v>6714.4698675386626</v>
      </c>
      <c r="W75" s="8">
        <v>48.154536202549941</v>
      </c>
      <c r="X75" s="8">
        <v>0</v>
      </c>
      <c r="Y75" s="8">
        <v>987.17478917539142</v>
      </c>
      <c r="Z75" s="8">
        <v>150.61282162065618</v>
      </c>
      <c r="AA75" s="8">
        <v>0</v>
      </c>
      <c r="AC75" s="8">
        <f>SUM(S70:S74)+SUM(V70:V74)+SUM(Y70:Y74)</f>
        <v>29214.797685424608</v>
      </c>
      <c r="AE75" s="8">
        <f>SUM(T74:T78)+SUM(U74:U78)+SUM(W74:W78)+SUM(X74:X78)+SUM(Z74:Z78)+SUM(AA74:AA78)</f>
        <v>165138.45632557751</v>
      </c>
    </row>
    <row r="76" spans="18:31" x14ac:dyDescent="0.25">
      <c r="R76" s="56">
        <v>37987</v>
      </c>
      <c r="S76" s="8">
        <v>917.01533818244934</v>
      </c>
      <c r="T76" s="8">
        <v>53665.550455093398</v>
      </c>
      <c r="U76" s="8">
        <v>5926.6959075927734</v>
      </c>
      <c r="V76" s="8">
        <v>10801.955272339286</v>
      </c>
      <c r="W76" s="8">
        <v>35878.895253658324</v>
      </c>
      <c r="X76" s="8">
        <v>888</v>
      </c>
      <c r="Y76" s="8">
        <v>918.21700429916382</v>
      </c>
      <c r="Z76" s="8">
        <v>3694.690072889066</v>
      </c>
      <c r="AA76" s="8">
        <v>3643.4058593750001</v>
      </c>
    </row>
    <row r="77" spans="18:31" x14ac:dyDescent="0.25">
      <c r="R77" s="56">
        <v>38018</v>
      </c>
      <c r="S77" s="8">
        <v>65.163921169936671</v>
      </c>
      <c r="T77" s="8">
        <v>21543.819254979495</v>
      </c>
      <c r="U77" s="8">
        <v>1663.0597152709968</v>
      </c>
      <c r="V77" s="8">
        <v>979.40203505754664</v>
      </c>
      <c r="W77" s="8">
        <v>12106.279566505926</v>
      </c>
      <c r="X77" s="8">
        <v>0</v>
      </c>
      <c r="Y77" s="8">
        <v>39.656436683237551</v>
      </c>
      <c r="Z77" s="8">
        <v>3.8116331761004405</v>
      </c>
      <c r="AA77" s="8">
        <v>0</v>
      </c>
    </row>
    <row r="78" spans="18:31" x14ac:dyDescent="0.25">
      <c r="R78" s="56">
        <v>38047</v>
      </c>
      <c r="S78" s="8">
        <v>219.92038840055463</v>
      </c>
      <c r="T78" s="8">
        <v>3844.8811511993399</v>
      </c>
      <c r="U78" s="8">
        <v>458.56884753704065</v>
      </c>
      <c r="V78" s="8">
        <v>203.75771780684587</v>
      </c>
      <c r="W78" s="8">
        <v>0</v>
      </c>
      <c r="X78" s="8">
        <v>0</v>
      </c>
      <c r="Y78" s="8">
        <v>11.402163606882098</v>
      </c>
      <c r="Z78" s="8">
        <v>0</v>
      </c>
      <c r="AA78" s="8">
        <v>0</v>
      </c>
    </row>
    <row r="79" spans="18:31" x14ac:dyDescent="0.25">
      <c r="R79" s="56">
        <v>38078</v>
      </c>
      <c r="S79" s="8">
        <v>368.62682318687433</v>
      </c>
      <c r="T79" s="8">
        <v>569.8843994140625</v>
      </c>
      <c r="U79" s="8">
        <v>0</v>
      </c>
      <c r="V79" s="8">
        <v>176.23469308018684</v>
      </c>
      <c r="W79" s="8">
        <v>0</v>
      </c>
      <c r="X79" s="8">
        <v>0</v>
      </c>
      <c r="Y79" s="8">
        <v>3.2289661824703217</v>
      </c>
      <c r="Z79" s="8">
        <v>0</v>
      </c>
      <c r="AA79" s="8">
        <v>0</v>
      </c>
    </row>
    <row r="80" spans="18:31" x14ac:dyDescent="0.25">
      <c r="R80" s="56">
        <v>38108</v>
      </c>
      <c r="S80" s="8">
        <v>78.946084618568406</v>
      </c>
      <c r="T80" s="8">
        <v>0</v>
      </c>
      <c r="U80" s="8">
        <v>0</v>
      </c>
      <c r="V80" s="8">
        <v>22.489452049136158</v>
      </c>
      <c r="W80" s="8">
        <v>0</v>
      </c>
      <c r="X80" s="8">
        <v>0</v>
      </c>
      <c r="Y80" s="8">
        <v>3.8328209996223501</v>
      </c>
      <c r="Z80" s="8">
        <v>0</v>
      </c>
      <c r="AA80" s="8">
        <v>0</v>
      </c>
    </row>
    <row r="81" spans="18:31" x14ac:dyDescent="0.25">
      <c r="R81" s="56">
        <v>38139</v>
      </c>
      <c r="S81" s="8">
        <v>101.00844329595566</v>
      </c>
      <c r="T81" s="8">
        <v>0</v>
      </c>
      <c r="U81" s="8">
        <v>0</v>
      </c>
      <c r="V81" s="8">
        <v>25.58852307498455</v>
      </c>
      <c r="W81" s="8">
        <v>0</v>
      </c>
      <c r="X81" s="8">
        <v>0</v>
      </c>
      <c r="Y81" s="8">
        <v>15.34376516938209</v>
      </c>
      <c r="Z81" s="8">
        <v>0</v>
      </c>
      <c r="AA81" s="8">
        <v>0</v>
      </c>
    </row>
    <row r="82" spans="18:31" x14ac:dyDescent="0.25">
      <c r="R82" s="56">
        <v>38169</v>
      </c>
      <c r="S82" s="8">
        <v>139.74445885419848</v>
      </c>
      <c r="T82" s="8">
        <v>0</v>
      </c>
      <c r="U82" s="8">
        <v>0</v>
      </c>
      <c r="V82" s="8">
        <v>47.965588063001633</v>
      </c>
      <c r="W82" s="8">
        <v>0</v>
      </c>
      <c r="X82" s="8">
        <v>0</v>
      </c>
      <c r="Y82" s="8">
        <v>76.197159707546277</v>
      </c>
      <c r="Z82" s="8">
        <v>0</v>
      </c>
      <c r="AA82" s="8">
        <v>0</v>
      </c>
    </row>
    <row r="83" spans="18:31" x14ac:dyDescent="0.25">
      <c r="R83" s="56">
        <v>38200</v>
      </c>
      <c r="S83" s="8">
        <v>194.68921238183972</v>
      </c>
      <c r="T83" s="8">
        <v>0</v>
      </c>
      <c r="U83" s="8">
        <v>0</v>
      </c>
      <c r="V83" s="8">
        <v>65.117640130221858</v>
      </c>
      <c r="W83" s="8">
        <v>0</v>
      </c>
      <c r="X83" s="8">
        <v>0</v>
      </c>
      <c r="Y83" s="8">
        <v>101.69717723131181</v>
      </c>
      <c r="Z83" s="8">
        <v>7.9765319824218802E-3</v>
      </c>
      <c r="AA83" s="8">
        <v>0</v>
      </c>
    </row>
    <row r="84" spans="18:31" x14ac:dyDescent="0.25">
      <c r="R84" s="56">
        <v>38231</v>
      </c>
      <c r="S84" s="8">
        <v>44.449095785617828</v>
      </c>
      <c r="T84" s="8">
        <v>4870.3183045834303</v>
      </c>
      <c r="U84" s="8">
        <v>0</v>
      </c>
      <c r="V84" s="8">
        <v>20.277187764644626</v>
      </c>
      <c r="W84" s="8">
        <v>7936.7497191801731</v>
      </c>
      <c r="X84" s="8">
        <v>0</v>
      </c>
      <c r="Y84" s="8">
        <v>117.50649756640196</v>
      </c>
      <c r="Z84" s="8">
        <v>427.06349700633427</v>
      </c>
      <c r="AA84" s="8">
        <v>0</v>
      </c>
    </row>
    <row r="85" spans="18:31" x14ac:dyDescent="0.25">
      <c r="R85" s="56">
        <v>38261</v>
      </c>
      <c r="S85" s="8">
        <v>48.110191941261292</v>
      </c>
      <c r="T85" s="8">
        <v>0</v>
      </c>
      <c r="U85" s="8">
        <v>0</v>
      </c>
      <c r="V85" s="8">
        <v>152.10421359539032</v>
      </c>
      <c r="W85" s="8">
        <v>0</v>
      </c>
      <c r="X85" s="8">
        <v>0</v>
      </c>
      <c r="Y85" s="8">
        <v>18.045540416240694</v>
      </c>
      <c r="Z85" s="8">
        <v>20.826737618446344</v>
      </c>
      <c r="AA85" s="8">
        <v>0</v>
      </c>
    </row>
    <row r="86" spans="18:31" x14ac:dyDescent="0.25">
      <c r="R86" s="56">
        <v>38292</v>
      </c>
      <c r="S86" s="8">
        <v>169.01895493268967</v>
      </c>
      <c r="T86" s="8">
        <v>3493.2345796451</v>
      </c>
      <c r="U86" s="8">
        <v>0</v>
      </c>
      <c r="V86" s="8">
        <v>10941.196008190511</v>
      </c>
      <c r="W86" s="8">
        <v>42.709290206432343</v>
      </c>
      <c r="X86" s="8">
        <v>0</v>
      </c>
      <c r="Y86" s="8">
        <v>233.8444557189942</v>
      </c>
      <c r="Z86" s="8">
        <v>187.1784833064074</v>
      </c>
      <c r="AA86" s="8">
        <v>0</v>
      </c>
      <c r="AB86" s="56">
        <f>R86</f>
        <v>38292</v>
      </c>
      <c r="AC86" s="8">
        <f>SUM(S82:S90)</f>
        <v>7841.0552769303322</v>
      </c>
      <c r="AD86" s="8">
        <f>SUM(V82:V90)+SUM(Y82:Y90)</f>
        <v>59564.601706239206</v>
      </c>
      <c r="AE86" s="8">
        <f>SUM(T74:T85)+SUM(U74:U85)+SUM(W74:W85)+SUM(X74:X85)+SUM(Z74:Z85)+SUM(AA74:AA85)</f>
        <v>178963.30695991192</v>
      </c>
    </row>
    <row r="87" spans="18:31" x14ac:dyDescent="0.25">
      <c r="R87" s="56">
        <v>38322</v>
      </c>
      <c r="S87" s="8">
        <v>609.46583551168453</v>
      </c>
      <c r="T87" s="8">
        <v>31293.467851020407</v>
      </c>
      <c r="U87" s="8">
        <v>715.60902667045593</v>
      </c>
      <c r="V87" s="8">
        <v>13535.239076733589</v>
      </c>
      <c r="W87" s="8">
        <v>20157.929140858367</v>
      </c>
      <c r="X87" s="8">
        <v>0</v>
      </c>
      <c r="Y87" s="8">
        <v>46.079766011238149</v>
      </c>
      <c r="Z87" s="8">
        <v>5689.3756652450174</v>
      </c>
      <c r="AA87" s="8">
        <v>1432.2118652343752</v>
      </c>
      <c r="AC87" s="8">
        <f>SUM(S82:S86)+SUM(V82:V86)+SUM(Y82:Y86)</f>
        <v>12369.963382279871</v>
      </c>
      <c r="AE87" s="8">
        <f>SUM(T86:T90)+SUM(U86:U90)+SUM(W86:W90)+SUM(X86:X90)+SUM(Z86:Z90)+SUM(AA86:AA90)</f>
        <v>86898.401441586655</v>
      </c>
    </row>
    <row r="88" spans="18:31" x14ac:dyDescent="0.25">
      <c r="R88" s="56">
        <v>38353</v>
      </c>
      <c r="S88" s="8">
        <v>231.4795637130737</v>
      </c>
      <c r="T88" s="8">
        <v>12619.737036675222</v>
      </c>
      <c r="U88" s="8">
        <v>2.4620847702026398</v>
      </c>
      <c r="V88" s="8">
        <v>8491.4527222514116</v>
      </c>
      <c r="W88" s="8">
        <v>11166.424103760184</v>
      </c>
      <c r="X88" s="8">
        <v>0</v>
      </c>
      <c r="Y88" s="8">
        <v>32.750564086437237</v>
      </c>
      <c r="Z88" s="8">
        <v>98.062314194475789</v>
      </c>
      <c r="AA88" s="8">
        <v>0</v>
      </c>
    </row>
    <row r="89" spans="18:31" x14ac:dyDescent="0.25">
      <c r="R89" s="56">
        <v>38384</v>
      </c>
      <c r="S89" s="8">
        <v>3735.5329015552993</v>
      </c>
      <c r="T89" s="8">
        <v>0</v>
      </c>
      <c r="U89" s="8">
        <v>0</v>
      </c>
      <c r="V89" s="8">
        <v>15698.252275705338</v>
      </c>
      <c r="W89" s="8">
        <v>0</v>
      </c>
      <c r="X89" s="8">
        <v>0</v>
      </c>
      <c r="Y89" s="8">
        <v>52.369452995061863</v>
      </c>
      <c r="Z89" s="8">
        <v>0</v>
      </c>
      <c r="AA89" s="8">
        <v>0</v>
      </c>
    </row>
    <row r="90" spans="18:31" x14ac:dyDescent="0.25">
      <c r="R90" s="56">
        <v>38412</v>
      </c>
      <c r="S90" s="8">
        <v>2668.5650622546673</v>
      </c>
      <c r="T90" s="8">
        <v>0</v>
      </c>
      <c r="U90" s="8">
        <v>0</v>
      </c>
      <c r="V90" s="8">
        <v>9333.3705443739891</v>
      </c>
      <c r="W90" s="8">
        <v>0</v>
      </c>
      <c r="X90" s="8">
        <v>0</v>
      </c>
      <c r="Y90" s="8">
        <v>601.13583569787454</v>
      </c>
      <c r="Z90" s="8">
        <v>0</v>
      </c>
      <c r="AA90" s="8">
        <v>0</v>
      </c>
    </row>
    <row r="91" spans="18:31" x14ac:dyDescent="0.25">
      <c r="R91" s="56">
        <v>38443</v>
      </c>
      <c r="S91" s="8">
        <v>500.32739949226362</v>
      </c>
      <c r="T91" s="8">
        <v>0</v>
      </c>
      <c r="U91" s="8">
        <v>0</v>
      </c>
      <c r="V91" s="8">
        <v>1361.4076020568609</v>
      </c>
      <c r="W91" s="8">
        <v>0</v>
      </c>
      <c r="X91" s="8">
        <v>0</v>
      </c>
      <c r="Y91" s="8">
        <v>49.500718085188389</v>
      </c>
      <c r="Z91" s="8">
        <v>0</v>
      </c>
      <c r="AA91" s="8">
        <v>0</v>
      </c>
    </row>
    <row r="92" spans="18:31" x14ac:dyDescent="0.25">
      <c r="R92" s="56">
        <v>38473</v>
      </c>
      <c r="S92" s="8">
        <v>83.312838554382324</v>
      </c>
      <c r="T92" s="8">
        <v>0</v>
      </c>
      <c r="U92" s="8">
        <v>0</v>
      </c>
      <c r="V92" s="8">
        <v>116.87622013688087</v>
      </c>
      <c r="W92" s="8">
        <v>0</v>
      </c>
      <c r="X92" s="8">
        <v>0</v>
      </c>
      <c r="Y92" s="8">
        <v>159.04365626573562</v>
      </c>
      <c r="Z92" s="8">
        <v>0</v>
      </c>
      <c r="AA92" s="8">
        <v>0</v>
      </c>
    </row>
    <row r="93" spans="18:31" x14ac:dyDescent="0.25">
      <c r="R93" s="56">
        <v>38504</v>
      </c>
      <c r="S93" s="8">
        <v>32.305008471012115</v>
      </c>
      <c r="T93" s="8">
        <v>38.813656806945787</v>
      </c>
      <c r="U93" s="8">
        <v>175.42563629150391</v>
      </c>
      <c r="V93" s="8">
        <v>38.544517443981036</v>
      </c>
      <c r="W93" s="8">
        <v>0</v>
      </c>
      <c r="X93" s="8">
        <v>0</v>
      </c>
      <c r="Y93" s="8">
        <v>63.040185933001332</v>
      </c>
      <c r="Z93" s="8">
        <v>221.98676910810184</v>
      </c>
      <c r="AA93" s="8">
        <v>1639.6519531250001</v>
      </c>
    </row>
    <row r="94" spans="18:31" x14ac:dyDescent="0.25">
      <c r="R94" s="56">
        <v>38534</v>
      </c>
      <c r="S94" s="8">
        <v>8.2531971931457502</v>
      </c>
      <c r="T94" s="8">
        <v>21733.275816679001</v>
      </c>
      <c r="U94" s="8">
        <v>2040.9548120498655</v>
      </c>
      <c r="V94" s="8">
        <v>0</v>
      </c>
      <c r="W94" s="8">
        <v>0</v>
      </c>
      <c r="X94" s="8">
        <v>0</v>
      </c>
      <c r="Y94" s="8">
        <v>1.1140637993812539</v>
      </c>
      <c r="Z94" s="8">
        <v>2895.4034358456265</v>
      </c>
      <c r="AA94" s="8">
        <v>37.624218750000004</v>
      </c>
    </row>
    <row r="95" spans="18:31" x14ac:dyDescent="0.25">
      <c r="R95" s="56">
        <v>38565</v>
      </c>
      <c r="S95" s="8">
        <v>109.20075774192809</v>
      </c>
      <c r="T95" s="8">
        <v>369.21814155578625</v>
      </c>
      <c r="U95" s="8">
        <v>52.931187987327561</v>
      </c>
      <c r="V95" s="8">
        <v>0</v>
      </c>
      <c r="W95" s="8">
        <v>0</v>
      </c>
      <c r="X95" s="8">
        <v>0</v>
      </c>
      <c r="Y95" s="8">
        <v>2.8798595547676062</v>
      </c>
      <c r="Z95" s="8">
        <v>21.241124461032442</v>
      </c>
      <c r="AA95" s="8">
        <v>0</v>
      </c>
    </row>
    <row r="96" spans="18:31" x14ac:dyDescent="0.25">
      <c r="R96" s="56">
        <v>38596</v>
      </c>
      <c r="S96" s="8">
        <v>475.56880185753158</v>
      </c>
      <c r="T96" s="8">
        <v>0</v>
      </c>
      <c r="U96" s="8">
        <v>0</v>
      </c>
      <c r="V96" s="8">
        <v>1400.0338840782651</v>
      </c>
      <c r="W96" s="8">
        <v>0</v>
      </c>
      <c r="X96" s="8">
        <v>0</v>
      </c>
      <c r="Y96" s="8">
        <v>62.644600057601906</v>
      </c>
      <c r="Z96" s="8">
        <v>17.882344795810059</v>
      </c>
      <c r="AA96" s="8">
        <v>0</v>
      </c>
    </row>
    <row r="97" spans="18:31" x14ac:dyDescent="0.25">
      <c r="R97" s="56">
        <v>38626</v>
      </c>
      <c r="S97" s="8">
        <v>1147.3034489005806</v>
      </c>
      <c r="T97" s="8">
        <v>0</v>
      </c>
      <c r="U97" s="8">
        <v>0</v>
      </c>
      <c r="V97" s="8">
        <v>7406.3197474479666</v>
      </c>
      <c r="W97" s="8">
        <v>0</v>
      </c>
      <c r="X97" s="8">
        <v>0</v>
      </c>
      <c r="Y97" s="8">
        <v>6.7402874231338465</v>
      </c>
      <c r="Z97" s="8">
        <v>0</v>
      </c>
      <c r="AA97" s="8">
        <v>0</v>
      </c>
    </row>
    <row r="98" spans="18:31" x14ac:dyDescent="0.25">
      <c r="R98" s="56">
        <v>38657</v>
      </c>
      <c r="S98" s="8">
        <v>874.47416667640209</v>
      </c>
      <c r="T98" s="8">
        <v>11384.275886990134</v>
      </c>
      <c r="U98" s="8">
        <v>0</v>
      </c>
      <c r="V98" s="8">
        <v>10028.283444404602</v>
      </c>
      <c r="W98" s="8">
        <v>8023.1038318304363</v>
      </c>
      <c r="X98" s="8">
        <v>0</v>
      </c>
      <c r="Y98" s="8">
        <v>173.67189521715062</v>
      </c>
      <c r="Z98" s="8">
        <v>424.01321271061926</v>
      </c>
      <c r="AA98" s="8">
        <v>0</v>
      </c>
      <c r="AB98" s="56">
        <f>R98</f>
        <v>38657</v>
      </c>
      <c r="AC98" s="8">
        <f>SUM(S94:S102)</f>
        <v>6599.9204907417306</v>
      </c>
      <c r="AD98" s="8">
        <f>SUM(V94:V102)+SUM(Y94:Y102)</f>
        <v>72789.924663483165</v>
      </c>
      <c r="AE98" s="8">
        <f>SUM(T86:T97)+SUM(U86:U97)+SUM(W86:W97)+SUM(X86:X97)+SUM(Z86:Z97)+SUM(AA86:AA97)</f>
        <v>116142.81053904265</v>
      </c>
    </row>
    <row r="99" spans="18:31" x14ac:dyDescent="0.25">
      <c r="R99" s="56">
        <v>38687</v>
      </c>
      <c r="S99" s="8">
        <v>280.22653743624676</v>
      </c>
      <c r="T99" s="8">
        <v>6913.4036101192487</v>
      </c>
      <c r="U99" s="8">
        <v>0</v>
      </c>
      <c r="V99" s="8">
        <v>8056.3732473850232</v>
      </c>
      <c r="W99" s="8">
        <v>7474.6917664706743</v>
      </c>
      <c r="X99" s="8">
        <v>0</v>
      </c>
      <c r="Y99" s="8">
        <v>1961.5652954161169</v>
      </c>
      <c r="Z99" s="8">
        <v>416.21396527679173</v>
      </c>
      <c r="AA99" s="8">
        <v>0</v>
      </c>
      <c r="AC99" s="8">
        <f>SUM(S94:S98)+SUM(V94:V98)+SUM(Y94:Y98)</f>
        <v>21696.488154352457</v>
      </c>
      <c r="AE99" s="8">
        <f>SUM(T98:T102)+SUM(U98:U102)+SUM(W98:W102)+SUM(X98:X102)+SUM(Z98:Z102)+SUM(AA98:AA102)</f>
        <v>97357.237147726541</v>
      </c>
    </row>
    <row r="100" spans="18:31" x14ac:dyDescent="0.25">
      <c r="R100" s="56">
        <v>38718</v>
      </c>
      <c r="S100" s="8">
        <v>1491.6869000941515</v>
      </c>
      <c r="T100" s="8">
        <v>16717.140862789005</v>
      </c>
      <c r="U100" s="8">
        <v>0</v>
      </c>
      <c r="V100" s="8">
        <v>22204.374299049381</v>
      </c>
      <c r="W100" s="8">
        <v>18875.042902644032</v>
      </c>
      <c r="X100" s="8">
        <v>0</v>
      </c>
      <c r="Y100" s="8">
        <v>6256.902249294707</v>
      </c>
      <c r="Z100" s="8">
        <v>215.89779295921358</v>
      </c>
      <c r="AA100" s="8">
        <v>0</v>
      </c>
    </row>
    <row r="101" spans="18:31" x14ac:dyDescent="0.25">
      <c r="R101" s="56">
        <v>38749</v>
      </c>
      <c r="S101" s="8">
        <v>1694.0222674161198</v>
      </c>
      <c r="T101" s="8">
        <v>12285.950203705583</v>
      </c>
      <c r="U101" s="8">
        <v>0</v>
      </c>
      <c r="V101" s="8">
        <v>9678.8955116272064</v>
      </c>
      <c r="W101" s="8">
        <v>14494.104156197052</v>
      </c>
      <c r="X101" s="8">
        <v>0</v>
      </c>
      <c r="Y101" s="8">
        <v>3607.1334990739801</v>
      </c>
      <c r="Z101" s="8">
        <v>132.56647863553368</v>
      </c>
      <c r="AA101" s="8">
        <v>0</v>
      </c>
    </row>
    <row r="102" spans="18:31" x14ac:dyDescent="0.25">
      <c r="R102" s="56">
        <v>38777</v>
      </c>
      <c r="S102" s="8">
        <v>519.1844134256246</v>
      </c>
      <c r="T102" s="8">
        <v>0</v>
      </c>
      <c r="U102" s="8">
        <v>0</v>
      </c>
      <c r="V102" s="8">
        <v>182.6431236267091</v>
      </c>
      <c r="W102" s="8">
        <v>0.83247739821672384</v>
      </c>
      <c r="X102" s="8">
        <v>0</v>
      </c>
      <c r="Y102" s="8">
        <v>1760.3496560271826</v>
      </c>
      <c r="Z102" s="8">
        <v>0</v>
      </c>
      <c r="AA102" s="8">
        <v>0</v>
      </c>
    </row>
    <row r="103" spans="18:31" x14ac:dyDescent="0.25">
      <c r="R103" s="56">
        <v>38808</v>
      </c>
      <c r="S103" s="8">
        <v>226.16729170084</v>
      </c>
      <c r="T103" s="8">
        <v>8.227213859558109</v>
      </c>
      <c r="U103" s="8">
        <v>0</v>
      </c>
      <c r="V103" s="8">
        <v>0.319338329136372</v>
      </c>
      <c r="W103" s="8">
        <v>0</v>
      </c>
      <c r="X103" s="8">
        <v>0</v>
      </c>
      <c r="Y103" s="8">
        <v>84.877083436353089</v>
      </c>
      <c r="Z103" s="8">
        <v>0</v>
      </c>
      <c r="AA103" s="8">
        <v>0</v>
      </c>
    </row>
    <row r="104" spans="18:31" x14ac:dyDescent="0.25">
      <c r="R104" s="56">
        <v>38838</v>
      </c>
      <c r="S104" s="8">
        <v>148.98932763934133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114.34472464919091</v>
      </c>
      <c r="Z104" s="8">
        <v>0</v>
      </c>
      <c r="AA104" s="8">
        <v>0</v>
      </c>
    </row>
    <row r="105" spans="18:31" x14ac:dyDescent="0.25">
      <c r="R105" s="56">
        <v>38869</v>
      </c>
      <c r="S105" s="8">
        <v>53.840517133474378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120.63288604915142</v>
      </c>
      <c r="Z105" s="8">
        <v>0</v>
      </c>
      <c r="AA105" s="8">
        <v>0</v>
      </c>
    </row>
    <row r="106" spans="18:31" x14ac:dyDescent="0.25">
      <c r="R106" s="56">
        <v>38899</v>
      </c>
      <c r="S106" s="8">
        <v>51.024783089756966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145.41658397763968</v>
      </c>
      <c r="Z106" s="8">
        <v>16.958911055140195</v>
      </c>
      <c r="AA106" s="8">
        <v>0</v>
      </c>
    </row>
    <row r="107" spans="18:31" x14ac:dyDescent="0.25">
      <c r="R107" s="56">
        <v>38930</v>
      </c>
      <c r="S107" s="8">
        <v>75.168399594724164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108.64805404245851</v>
      </c>
      <c r="Z107" s="8">
        <v>6.0721622467041003</v>
      </c>
      <c r="AA107" s="8">
        <v>0</v>
      </c>
    </row>
    <row r="108" spans="18:31" x14ac:dyDescent="0.25">
      <c r="R108" s="56">
        <v>38961</v>
      </c>
      <c r="S108" s="8">
        <v>362.82682918012131</v>
      </c>
      <c r="T108" s="8">
        <v>0</v>
      </c>
      <c r="U108" s="8">
        <v>0</v>
      </c>
      <c r="V108" s="8">
        <v>2458.3429236412062</v>
      </c>
      <c r="W108" s="8">
        <v>0</v>
      </c>
      <c r="X108" s="8">
        <v>0</v>
      </c>
      <c r="Y108" s="8">
        <v>1240.1991438429804</v>
      </c>
      <c r="Z108" s="8">
        <v>1.5307132095098532</v>
      </c>
      <c r="AA108" s="8">
        <v>0</v>
      </c>
    </row>
    <row r="109" spans="18:31" x14ac:dyDescent="0.25">
      <c r="R109" s="56">
        <v>38991</v>
      </c>
      <c r="S109" s="8">
        <v>1630.6272786110642</v>
      </c>
      <c r="T109" s="8">
        <v>0</v>
      </c>
      <c r="U109" s="8">
        <v>0</v>
      </c>
      <c r="V109" s="8">
        <v>9161.6668996810968</v>
      </c>
      <c r="W109" s="8">
        <v>0</v>
      </c>
      <c r="X109" s="8">
        <v>0</v>
      </c>
      <c r="Y109" s="8">
        <v>31.02793380841613</v>
      </c>
      <c r="Z109" s="8">
        <v>0</v>
      </c>
      <c r="AA109" s="8">
        <v>0</v>
      </c>
    </row>
    <row r="110" spans="18:31" x14ac:dyDescent="0.25">
      <c r="R110" s="56">
        <v>39022</v>
      </c>
      <c r="S110" s="8">
        <v>2639.599771797657</v>
      </c>
      <c r="T110" s="8">
        <v>11291.67966067791</v>
      </c>
      <c r="U110" s="8">
        <v>0</v>
      </c>
      <c r="V110" s="8">
        <v>10373.981748431921</v>
      </c>
      <c r="W110" s="8">
        <v>7630.7464143335828</v>
      </c>
      <c r="X110" s="8">
        <v>0</v>
      </c>
      <c r="Y110" s="8">
        <v>175.05395218059417</v>
      </c>
      <c r="Z110" s="8">
        <v>0</v>
      </c>
      <c r="AA110" s="8">
        <v>0</v>
      </c>
      <c r="AB110" s="56">
        <f>R110</f>
        <v>39022</v>
      </c>
      <c r="AC110" s="8">
        <f>SUM(S106:S114)</f>
        <v>12955.791189856829</v>
      </c>
      <c r="AD110" s="8">
        <f>SUM(V106:V114)+SUM(Y106:Y114)</f>
        <v>59778.370266068159</v>
      </c>
      <c r="AE110" s="8">
        <f>SUM(T98:T109)+SUM(U98:U109)+SUM(W98:W109)+SUM(X98:X109)+SUM(Z98:Z109)+SUM(AA98:AA109)</f>
        <v>97390.026148097459</v>
      </c>
    </row>
    <row r="111" spans="18:31" x14ac:dyDescent="0.25">
      <c r="R111" s="56">
        <v>39052</v>
      </c>
      <c r="S111" s="8">
        <v>4068.3826596736926</v>
      </c>
      <c r="T111" s="8">
        <v>0</v>
      </c>
      <c r="U111" s="8">
        <v>0</v>
      </c>
      <c r="V111" s="8">
        <v>17961.264874041084</v>
      </c>
      <c r="W111" s="8">
        <v>0</v>
      </c>
      <c r="X111" s="8">
        <v>0</v>
      </c>
      <c r="Y111" s="8">
        <v>571.27067853441702</v>
      </c>
      <c r="Z111" s="8">
        <v>0</v>
      </c>
      <c r="AA111" s="8">
        <v>0</v>
      </c>
      <c r="AC111" s="8">
        <f>SUM(S106:S110)+SUM(V106:V110)+SUM(Y106:Y110)</f>
        <v>28453.584301879637</v>
      </c>
      <c r="AE111" s="8">
        <f>SUM(T110:T114)+SUM(U110:U114)+SUM(W110:W114)+SUM(X110:X114)+SUM(Z110:Z114)+SUM(AA110:AA114)</f>
        <v>19431.738229481503</v>
      </c>
    </row>
    <row r="112" spans="18:31" x14ac:dyDescent="0.25">
      <c r="R112" s="56">
        <v>39083</v>
      </c>
      <c r="S112" s="8">
        <v>1461.3759399652479</v>
      </c>
      <c r="T112" s="8">
        <v>0</v>
      </c>
      <c r="U112" s="8">
        <v>0</v>
      </c>
      <c r="V112" s="8">
        <v>7932.7058993876017</v>
      </c>
      <c r="W112" s="8">
        <v>0</v>
      </c>
      <c r="X112" s="8">
        <v>0</v>
      </c>
      <c r="Y112" s="8">
        <v>449.55285749435427</v>
      </c>
      <c r="Z112" s="8">
        <v>0</v>
      </c>
      <c r="AA112" s="8">
        <v>0</v>
      </c>
    </row>
    <row r="113" spans="18:31" x14ac:dyDescent="0.25">
      <c r="R113" s="56">
        <v>39114</v>
      </c>
      <c r="S113" s="8">
        <v>178.2289204597472</v>
      </c>
      <c r="T113" s="8">
        <v>0</v>
      </c>
      <c r="U113" s="8">
        <v>0</v>
      </c>
      <c r="V113" s="8">
        <v>2437.6489988444373</v>
      </c>
      <c r="W113" s="8">
        <v>0</v>
      </c>
      <c r="X113" s="8">
        <v>0</v>
      </c>
      <c r="Y113" s="8">
        <v>0</v>
      </c>
      <c r="Z113" s="8">
        <v>7.2720175981521598E-2</v>
      </c>
      <c r="AA113" s="8">
        <v>0</v>
      </c>
    </row>
    <row r="114" spans="18:31" x14ac:dyDescent="0.25">
      <c r="R114" s="56">
        <v>39142</v>
      </c>
      <c r="S114" s="8">
        <v>2488.5566074848175</v>
      </c>
      <c r="T114" s="8">
        <v>211.02587795257591</v>
      </c>
      <c r="U114" s="8">
        <v>0</v>
      </c>
      <c r="V114" s="8">
        <v>6528.8811794668554</v>
      </c>
      <c r="W114" s="8">
        <v>13.707059621810911</v>
      </c>
      <c r="X114" s="8">
        <v>0</v>
      </c>
      <c r="Y114" s="8">
        <v>202.70853869309633</v>
      </c>
      <c r="Z114" s="8">
        <v>284.50649671964362</v>
      </c>
      <c r="AA114" s="8">
        <v>0</v>
      </c>
    </row>
    <row r="115" spans="18:31" x14ac:dyDescent="0.25">
      <c r="R115" s="56">
        <v>39173</v>
      </c>
      <c r="S115" s="8">
        <v>250.41698926687235</v>
      </c>
      <c r="T115" s="8">
        <v>0</v>
      </c>
      <c r="U115" s="8">
        <v>0</v>
      </c>
      <c r="V115" s="8">
        <v>1114.6580594182017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</row>
    <row r="116" spans="18:31" x14ac:dyDescent="0.25">
      <c r="R116" s="56">
        <v>39203</v>
      </c>
      <c r="S116" s="8">
        <v>59.492053389549255</v>
      </c>
      <c r="T116" s="8">
        <v>12.696064949035653</v>
      </c>
      <c r="U116" s="8">
        <v>0</v>
      </c>
      <c r="V116" s="8">
        <v>6.8991610258817735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</row>
    <row r="117" spans="18:31" x14ac:dyDescent="0.25">
      <c r="R117" s="56">
        <v>39234</v>
      </c>
      <c r="S117" s="8">
        <v>301.57816849648947</v>
      </c>
      <c r="T117" s="8">
        <v>128.98566275835043</v>
      </c>
      <c r="U117" s="8">
        <v>0</v>
      </c>
      <c r="V117" s="8">
        <v>3.2497928738594073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</row>
    <row r="118" spans="18:31" x14ac:dyDescent="0.25">
      <c r="R118" s="56">
        <v>39264</v>
      </c>
      <c r="S118" s="8">
        <v>168.89520180970433</v>
      </c>
      <c r="T118" s="8">
        <v>6931.2887249290961</v>
      </c>
      <c r="U118" s="8">
        <v>0</v>
      </c>
      <c r="V118" s="8">
        <v>0</v>
      </c>
      <c r="W118" s="8">
        <v>9832.3143024444653</v>
      </c>
      <c r="X118" s="8">
        <v>0</v>
      </c>
      <c r="Y118" s="8">
        <v>27.161822153627856</v>
      </c>
      <c r="Z118" s="8">
        <v>0</v>
      </c>
      <c r="AA118" s="8">
        <v>0</v>
      </c>
    </row>
    <row r="119" spans="18:31" x14ac:dyDescent="0.25">
      <c r="R119" s="56">
        <v>39295</v>
      </c>
      <c r="S119" s="8">
        <v>467.62290332466353</v>
      </c>
      <c r="T119" s="8">
        <v>9562.1817088127173</v>
      </c>
      <c r="U119" s="8">
        <v>0</v>
      </c>
      <c r="V119" s="8">
        <v>24.922466740012148</v>
      </c>
      <c r="W119" s="8">
        <v>13853.243929348888</v>
      </c>
      <c r="X119" s="8">
        <v>0</v>
      </c>
      <c r="Y119" s="8">
        <v>28.102861681580539</v>
      </c>
      <c r="Z119" s="8">
        <v>339.70726293698027</v>
      </c>
      <c r="AA119" s="8">
        <v>0</v>
      </c>
    </row>
    <row r="120" spans="18:31" x14ac:dyDescent="0.25">
      <c r="R120" s="56">
        <v>39326</v>
      </c>
      <c r="S120" s="8">
        <v>929.23893573880218</v>
      </c>
      <c r="T120" s="8">
        <v>0</v>
      </c>
      <c r="U120" s="8">
        <v>0</v>
      </c>
      <c r="V120" s="8">
        <v>4972.2913181483764</v>
      </c>
      <c r="W120" s="8">
        <v>0</v>
      </c>
      <c r="X120" s="8">
        <v>0</v>
      </c>
      <c r="Y120" s="8">
        <v>363.29688866764786</v>
      </c>
      <c r="Z120" s="8">
        <v>0</v>
      </c>
      <c r="AA120" s="8">
        <v>0</v>
      </c>
    </row>
    <row r="121" spans="18:31" x14ac:dyDescent="0.25">
      <c r="R121" s="56">
        <v>39356</v>
      </c>
      <c r="S121" s="8">
        <v>1789.8021243959665</v>
      </c>
      <c r="T121" s="8">
        <v>0</v>
      </c>
      <c r="U121" s="8">
        <v>0</v>
      </c>
      <c r="V121" s="8">
        <v>9056.3218057602644</v>
      </c>
      <c r="W121" s="8">
        <v>0</v>
      </c>
      <c r="X121" s="8">
        <v>0</v>
      </c>
      <c r="Y121" s="8">
        <v>60.71063848510385</v>
      </c>
      <c r="Z121" s="8">
        <v>0</v>
      </c>
      <c r="AA121" s="8">
        <v>0</v>
      </c>
    </row>
    <row r="122" spans="18:31" x14ac:dyDescent="0.25">
      <c r="R122" s="56">
        <v>39387</v>
      </c>
      <c r="S122" s="8">
        <v>1518.6657305434346</v>
      </c>
      <c r="T122" s="8">
        <v>3.3451597690582302</v>
      </c>
      <c r="U122" s="8">
        <v>0</v>
      </c>
      <c r="V122" s="8">
        <v>9647.0739587694443</v>
      </c>
      <c r="W122" s="8">
        <v>0.42841008305549599</v>
      </c>
      <c r="X122" s="8">
        <v>0</v>
      </c>
      <c r="Y122" s="8">
        <v>256.78606274668124</v>
      </c>
      <c r="Z122" s="8">
        <v>6.6546288555487996</v>
      </c>
      <c r="AA122" s="8">
        <v>0</v>
      </c>
      <c r="AB122" s="56">
        <f>R122</f>
        <v>39387</v>
      </c>
      <c r="AC122" s="8">
        <f>SUM(S118:S126)</f>
        <v>9327.5342872813344</v>
      </c>
      <c r="AD122" s="8">
        <f>SUM(V118:V126)+SUM(Y118:Y126)</f>
        <v>49962.274756447259</v>
      </c>
      <c r="AE122" s="8">
        <f>SUM(T110:T121)+SUM(U110:U121)+SUM(W110:W121)+SUM(X110:X121)+SUM(Z110:Z121)+SUM(AA110:AA121)</f>
        <v>60092.155885661035</v>
      </c>
    </row>
    <row r="123" spans="18:31" x14ac:dyDescent="0.25">
      <c r="R123" s="56">
        <v>39417</v>
      </c>
      <c r="S123" s="8">
        <v>1017.740082651376</v>
      </c>
      <c r="T123" s="8">
        <v>7099.4871561843902</v>
      </c>
      <c r="U123" s="8">
        <v>0</v>
      </c>
      <c r="V123" s="8">
        <v>6212.7329655159274</v>
      </c>
      <c r="W123" s="8">
        <v>7341.6026724428048</v>
      </c>
      <c r="X123" s="8">
        <v>0</v>
      </c>
      <c r="Y123" s="8">
        <v>499.88903741231206</v>
      </c>
      <c r="Z123" s="8">
        <v>0</v>
      </c>
      <c r="AA123" s="8">
        <v>0</v>
      </c>
      <c r="AC123" s="8">
        <f>SUM(S118:S122)+SUM(V118:V122)+SUM(Y118:Y122)</f>
        <v>29310.892718965311</v>
      </c>
      <c r="AE123" s="8">
        <f>SUM(T122:T126)+SUM(U122:U126)+SUM(W122:W126)+SUM(X122:X126)+SUM(Z122:Z126)+SUM(AA122:AA126)</f>
        <v>124773.8901128329</v>
      </c>
    </row>
    <row r="124" spans="18:31" x14ac:dyDescent="0.25">
      <c r="R124" s="56">
        <v>39448</v>
      </c>
      <c r="S124" s="8">
        <v>2687.3917418122296</v>
      </c>
      <c r="T124" s="8">
        <v>21399.653595909484</v>
      </c>
      <c r="U124" s="8">
        <v>0</v>
      </c>
      <c r="V124" s="8">
        <v>13735.893313869836</v>
      </c>
      <c r="W124" s="8">
        <v>17596.57556072158</v>
      </c>
      <c r="X124" s="8">
        <v>0</v>
      </c>
      <c r="Y124" s="8">
        <v>917.64219008907685</v>
      </c>
      <c r="Z124" s="8">
        <v>118.12386347651476</v>
      </c>
      <c r="AA124" s="8">
        <v>0</v>
      </c>
    </row>
    <row r="125" spans="18:31" x14ac:dyDescent="0.25">
      <c r="R125" s="56">
        <v>39479</v>
      </c>
      <c r="S125" s="8">
        <v>327.49014532566048</v>
      </c>
      <c r="T125" s="8">
        <v>37828.523799121394</v>
      </c>
      <c r="U125" s="8">
        <v>0</v>
      </c>
      <c r="V125" s="8">
        <v>3416.5583990514278</v>
      </c>
      <c r="W125" s="8">
        <v>31205.685001827784</v>
      </c>
      <c r="X125" s="8">
        <v>0</v>
      </c>
      <c r="Y125" s="8">
        <v>271.43373908177011</v>
      </c>
      <c r="Z125" s="8">
        <v>2098.2283800748187</v>
      </c>
      <c r="AA125" s="8">
        <v>0</v>
      </c>
    </row>
    <row r="126" spans="18:31" x14ac:dyDescent="0.25">
      <c r="R126" s="56">
        <v>39508</v>
      </c>
      <c r="S126" s="8">
        <v>420.68742167949677</v>
      </c>
      <c r="T126" s="8">
        <v>75.323012590408325</v>
      </c>
      <c r="U126" s="8">
        <v>0</v>
      </c>
      <c r="V126" s="8">
        <v>321.90373925864691</v>
      </c>
      <c r="W126" s="8">
        <v>0.2588717760518196</v>
      </c>
      <c r="X126" s="8">
        <v>0</v>
      </c>
      <c r="Y126" s="8">
        <v>149.55354901552195</v>
      </c>
      <c r="Z126" s="8">
        <v>0</v>
      </c>
      <c r="AA126" s="8">
        <v>0</v>
      </c>
    </row>
    <row r="127" spans="18:31" x14ac:dyDescent="0.25">
      <c r="R127" s="56">
        <v>39539</v>
      </c>
      <c r="S127" s="8">
        <v>372.10024213790888</v>
      </c>
      <c r="T127" s="8">
        <v>0</v>
      </c>
      <c r="U127" s="8">
        <v>0</v>
      </c>
      <c r="V127" s="8">
        <v>167.87285336852077</v>
      </c>
      <c r="W127" s="8">
        <v>0</v>
      </c>
      <c r="X127" s="8">
        <v>0</v>
      </c>
      <c r="Y127" s="8">
        <v>208.01129177287217</v>
      </c>
      <c r="Z127" s="8">
        <v>0</v>
      </c>
      <c r="AA127" s="8">
        <v>0</v>
      </c>
    </row>
    <row r="128" spans="18:31" x14ac:dyDescent="0.25">
      <c r="R128" s="56">
        <v>39569</v>
      </c>
      <c r="S128" s="8">
        <v>240.44773983955383</v>
      </c>
      <c r="T128" s="8">
        <v>0</v>
      </c>
      <c r="U128" s="8">
        <v>0</v>
      </c>
      <c r="V128" s="8">
        <v>95.380480438470926</v>
      </c>
      <c r="W128" s="8">
        <v>0</v>
      </c>
      <c r="X128" s="8">
        <v>0</v>
      </c>
      <c r="Y128" s="8">
        <v>287.08578131198868</v>
      </c>
      <c r="Z128" s="8">
        <v>0</v>
      </c>
      <c r="AA128" s="8">
        <v>0</v>
      </c>
    </row>
    <row r="129" spans="18:31" x14ac:dyDescent="0.25">
      <c r="R129" s="56">
        <v>39600</v>
      </c>
      <c r="S129" s="8">
        <v>67.278351038694382</v>
      </c>
      <c r="T129" s="8">
        <v>0</v>
      </c>
      <c r="U129" s="8">
        <v>0</v>
      </c>
      <c r="V129" s="8">
        <v>15.94086978584528</v>
      </c>
      <c r="W129" s="8">
        <v>0</v>
      </c>
      <c r="X129" s="8">
        <v>0</v>
      </c>
      <c r="Y129" s="8">
        <v>124.78283328711983</v>
      </c>
      <c r="Z129" s="8">
        <v>0</v>
      </c>
      <c r="AA129" s="8">
        <v>0</v>
      </c>
    </row>
    <row r="130" spans="18:31" x14ac:dyDescent="0.25">
      <c r="R130" s="56">
        <v>39630</v>
      </c>
      <c r="S130" s="8">
        <v>111.87950819730754</v>
      </c>
      <c r="T130" s="8">
        <v>0</v>
      </c>
      <c r="U130" s="8">
        <v>0</v>
      </c>
      <c r="V130" s="8">
        <v>14.75289997458459</v>
      </c>
      <c r="W130" s="8">
        <v>0</v>
      </c>
      <c r="X130" s="8">
        <v>0</v>
      </c>
      <c r="Y130" s="8">
        <v>141.22012467905878</v>
      </c>
      <c r="Z130" s="8">
        <v>0</v>
      </c>
      <c r="AA130" s="8">
        <v>0</v>
      </c>
    </row>
    <row r="131" spans="18:31" x14ac:dyDescent="0.25">
      <c r="R131" s="56">
        <v>39661</v>
      </c>
      <c r="S131" s="8">
        <v>214.09804144501689</v>
      </c>
      <c r="T131" s="8">
        <v>0</v>
      </c>
      <c r="U131" s="8">
        <v>0</v>
      </c>
      <c r="V131" s="8">
        <v>78.58434496819973</v>
      </c>
      <c r="W131" s="8">
        <v>0</v>
      </c>
      <c r="X131" s="8">
        <v>0</v>
      </c>
      <c r="Y131" s="8">
        <v>333.23830121755594</v>
      </c>
      <c r="Z131" s="8">
        <v>0</v>
      </c>
      <c r="AA131" s="8">
        <v>0</v>
      </c>
    </row>
    <row r="132" spans="18:31" x14ac:dyDescent="0.25">
      <c r="R132" s="56">
        <v>39692</v>
      </c>
      <c r="S132" s="8">
        <v>41.462424278259277</v>
      </c>
      <c r="T132" s="8">
        <v>3266.6542758941669</v>
      </c>
      <c r="U132" s="8">
        <v>0</v>
      </c>
      <c r="V132" s="8">
        <v>14.652356661856162</v>
      </c>
      <c r="W132" s="8">
        <v>0</v>
      </c>
      <c r="X132" s="8">
        <v>0</v>
      </c>
      <c r="Y132" s="8">
        <v>392.69935182183991</v>
      </c>
      <c r="Z132" s="8">
        <v>102.89877039045096</v>
      </c>
      <c r="AA132" s="8">
        <v>0</v>
      </c>
    </row>
    <row r="133" spans="18:31" x14ac:dyDescent="0.25">
      <c r="R133" s="56">
        <v>39722</v>
      </c>
      <c r="S133" s="8">
        <v>613.12855070829403</v>
      </c>
      <c r="T133" s="8">
        <v>0</v>
      </c>
      <c r="U133" s="8">
        <v>0</v>
      </c>
      <c r="V133" s="8">
        <v>5704.9771506041307</v>
      </c>
      <c r="W133" s="8">
        <v>0</v>
      </c>
      <c r="X133" s="8">
        <v>0</v>
      </c>
      <c r="Y133" s="8">
        <v>31.269372793287051</v>
      </c>
      <c r="Z133" s="8">
        <v>0</v>
      </c>
      <c r="AA133" s="8">
        <v>0</v>
      </c>
    </row>
    <row r="134" spans="18:31" x14ac:dyDescent="0.25">
      <c r="R134" s="56">
        <v>39753</v>
      </c>
      <c r="S134" s="8">
        <v>1827.8492600917818</v>
      </c>
      <c r="T134" s="8">
        <v>36674.301437497146</v>
      </c>
      <c r="U134" s="8">
        <v>390</v>
      </c>
      <c r="V134" s="8">
        <v>5637.3498545673219</v>
      </c>
      <c r="W134" s="8">
        <v>17209.403319299228</v>
      </c>
      <c r="X134" s="8">
        <v>0</v>
      </c>
      <c r="Y134" s="8">
        <v>310.86136497557169</v>
      </c>
      <c r="Z134" s="8">
        <v>1291.9951092349377</v>
      </c>
      <c r="AA134" s="8">
        <v>0</v>
      </c>
      <c r="AB134" s="56">
        <f>R134</f>
        <v>39753</v>
      </c>
      <c r="AC134" s="8">
        <f>SUM(S130:S138)</f>
        <v>5003.0131745375693</v>
      </c>
      <c r="AD134" s="8">
        <f>SUM(V130:V138)+SUM(Y130:Y138)</f>
        <v>37940.341761071293</v>
      </c>
      <c r="AE134" s="8">
        <f>SUM(T122:T133)+SUM(U122:U133)+SUM(W122:W133)+SUM(X122:X133)+SUM(Z122:Z133)+SUM(AA122:AA133)</f>
        <v>128143.44315911751</v>
      </c>
    </row>
    <row r="135" spans="18:31" x14ac:dyDescent="0.25">
      <c r="R135" s="56">
        <v>39783</v>
      </c>
      <c r="S135" s="8">
        <v>89.591246485710144</v>
      </c>
      <c r="T135" s="8">
        <v>12252.096965759994</v>
      </c>
      <c r="U135" s="8">
        <v>0</v>
      </c>
      <c r="V135" s="8">
        <v>5908.8200753331203</v>
      </c>
      <c r="W135" s="8">
        <v>5801.0014026286062</v>
      </c>
      <c r="X135" s="8">
        <v>0</v>
      </c>
      <c r="Y135" s="8">
        <v>747.67532824277896</v>
      </c>
      <c r="Z135" s="8">
        <v>323.15090981433161</v>
      </c>
      <c r="AA135" s="8">
        <v>0</v>
      </c>
      <c r="AC135" s="8">
        <f>SUM(S130:S134)+SUM(V130:V134)+SUM(Y130:Y134)</f>
        <v>15468.022906984066</v>
      </c>
      <c r="AE135" s="8">
        <f>SUM(T134:T138)+SUM(U134:U138)+SUM(W134:W138)+SUM(X134:X138)+SUM(Z134:Z138)+SUM(AA134:AA138)</f>
        <v>98294.108210497172</v>
      </c>
    </row>
    <row r="136" spans="18:31" x14ac:dyDescent="0.25">
      <c r="R136" s="56">
        <v>39814</v>
      </c>
      <c r="S136" s="8">
        <v>828.30119055509567</v>
      </c>
      <c r="T136" s="8">
        <v>8866.0170410797018</v>
      </c>
      <c r="U136" s="8">
        <v>0</v>
      </c>
      <c r="V136" s="8">
        <v>10860.597832262516</v>
      </c>
      <c r="W136" s="8">
        <v>6293.4716848358512</v>
      </c>
      <c r="X136" s="8">
        <v>0</v>
      </c>
      <c r="Y136" s="8">
        <v>1959.6573415160181</v>
      </c>
      <c r="Z136" s="8">
        <v>536.2848714853634</v>
      </c>
      <c r="AA136" s="8">
        <v>0</v>
      </c>
    </row>
    <row r="137" spans="18:31" x14ac:dyDescent="0.25">
      <c r="R137" s="56">
        <v>39845</v>
      </c>
      <c r="S137" s="8">
        <v>764.6088627576828</v>
      </c>
      <c r="T137" s="8">
        <v>6627.9371535778064</v>
      </c>
      <c r="U137" s="8">
        <v>60</v>
      </c>
      <c r="V137" s="8">
        <v>4035.9644985198966</v>
      </c>
      <c r="W137" s="8">
        <v>0</v>
      </c>
      <c r="X137" s="8">
        <v>0</v>
      </c>
      <c r="Y137" s="8">
        <v>749.74461343288442</v>
      </c>
      <c r="Z137" s="8">
        <v>424.23441555259097</v>
      </c>
      <c r="AA137" s="8">
        <v>0</v>
      </c>
    </row>
    <row r="138" spans="18:31" x14ac:dyDescent="0.25">
      <c r="R138" s="56">
        <v>39873</v>
      </c>
      <c r="S138" s="8">
        <v>512.0940900184213</v>
      </c>
      <c r="T138" s="8">
        <v>1544.213899731636</v>
      </c>
      <c r="U138" s="8">
        <v>0</v>
      </c>
      <c r="V138" s="8">
        <v>960.9192624446008</v>
      </c>
      <c r="W138" s="8">
        <v>0</v>
      </c>
      <c r="X138" s="8">
        <v>0</v>
      </c>
      <c r="Y138" s="8">
        <v>57.357687056064634</v>
      </c>
      <c r="Z138" s="8">
        <v>0</v>
      </c>
      <c r="AA138" s="8">
        <v>0</v>
      </c>
    </row>
    <row r="139" spans="18:31" x14ac:dyDescent="0.25">
      <c r="R139" s="56">
        <v>39904</v>
      </c>
      <c r="S139" s="8">
        <v>98.460334062576308</v>
      </c>
      <c r="T139" s="8">
        <v>0</v>
      </c>
      <c r="U139" s="8">
        <v>0</v>
      </c>
      <c r="V139" s="8">
        <v>110.0156415179372</v>
      </c>
      <c r="W139" s="8">
        <v>0</v>
      </c>
      <c r="X139" s="8">
        <v>0</v>
      </c>
      <c r="Y139" s="8">
        <v>41.670054441317902</v>
      </c>
      <c r="Z139" s="8">
        <v>0</v>
      </c>
      <c r="AA139" s="8">
        <v>0</v>
      </c>
    </row>
    <row r="140" spans="18:31" x14ac:dyDescent="0.25">
      <c r="R140" s="56">
        <v>39934</v>
      </c>
      <c r="S140" s="8">
        <v>61.661130189895644</v>
      </c>
      <c r="T140" s="8">
        <v>17837.754352897413</v>
      </c>
      <c r="U140" s="8">
        <v>0</v>
      </c>
      <c r="V140" s="8">
        <v>64.468963414430647</v>
      </c>
      <c r="W140" s="8">
        <v>14993.883188635113</v>
      </c>
      <c r="X140" s="8">
        <v>0</v>
      </c>
      <c r="Y140" s="8">
        <v>62.580507872998716</v>
      </c>
      <c r="Z140" s="8">
        <v>0</v>
      </c>
      <c r="AA140" s="8">
        <v>0</v>
      </c>
    </row>
    <row r="141" spans="18:31" x14ac:dyDescent="0.25">
      <c r="R141" s="56">
        <v>39965</v>
      </c>
      <c r="S141" s="8">
        <v>4.0149841606616947</v>
      </c>
      <c r="T141" s="8">
        <v>728.20679357647919</v>
      </c>
      <c r="U141" s="8">
        <v>0</v>
      </c>
      <c r="V141" s="8">
        <v>1.5714061297476318</v>
      </c>
      <c r="W141" s="8">
        <v>1830.4487610012304</v>
      </c>
      <c r="X141" s="8">
        <v>0</v>
      </c>
      <c r="Y141" s="8">
        <v>12.440303552150723</v>
      </c>
      <c r="Z141" s="8">
        <v>0</v>
      </c>
      <c r="AA141" s="8">
        <v>0</v>
      </c>
    </row>
    <row r="142" spans="18:31" x14ac:dyDescent="0.25">
      <c r="R142" s="56">
        <v>39995</v>
      </c>
      <c r="S142" s="8">
        <v>12.763424158096315</v>
      </c>
      <c r="T142" s="8">
        <v>156.38145232200625</v>
      </c>
      <c r="U142" s="8">
        <v>0</v>
      </c>
      <c r="V142" s="8">
        <v>12.317679227329789</v>
      </c>
      <c r="W142" s="8">
        <v>34.23106191307307</v>
      </c>
      <c r="X142" s="8">
        <v>0</v>
      </c>
      <c r="Y142" s="8">
        <v>102.67626079320905</v>
      </c>
      <c r="Z142" s="8">
        <v>0</v>
      </c>
      <c r="AA142" s="8">
        <v>0</v>
      </c>
    </row>
    <row r="143" spans="18:31" x14ac:dyDescent="0.25">
      <c r="R143" s="56">
        <v>40026</v>
      </c>
      <c r="S143" s="8">
        <v>76.785763144493103</v>
      </c>
      <c r="T143" s="8">
        <v>147.00144842267036</v>
      </c>
      <c r="U143" s="8">
        <v>0</v>
      </c>
      <c r="V143" s="8">
        <v>64.82658363878727</v>
      </c>
      <c r="W143" s="8">
        <v>42.070164203643813</v>
      </c>
      <c r="X143" s="8">
        <v>0</v>
      </c>
      <c r="Y143" s="8">
        <v>121.08688209056855</v>
      </c>
      <c r="Z143" s="8">
        <v>0</v>
      </c>
      <c r="AA143" s="8">
        <v>0</v>
      </c>
    </row>
    <row r="144" spans="18:31" x14ac:dyDescent="0.25">
      <c r="R144" s="56">
        <v>40057</v>
      </c>
      <c r="S144" s="8">
        <v>100.7172402143478</v>
      </c>
      <c r="T144" s="8">
        <v>0</v>
      </c>
      <c r="U144" s="8">
        <v>0</v>
      </c>
      <c r="V144" s="8">
        <v>4417.2765767574328</v>
      </c>
      <c r="W144" s="8">
        <v>0</v>
      </c>
      <c r="X144" s="8">
        <v>0</v>
      </c>
      <c r="Y144" s="8">
        <v>211.15725185391511</v>
      </c>
      <c r="Z144" s="8">
        <v>0</v>
      </c>
      <c r="AA144" s="8">
        <v>0</v>
      </c>
    </row>
    <row r="145" spans="18:31" x14ac:dyDescent="0.25">
      <c r="R145" s="56">
        <v>40087</v>
      </c>
      <c r="S145" s="8">
        <v>2195.1245715320101</v>
      </c>
      <c r="T145" s="8">
        <v>0</v>
      </c>
      <c r="U145" s="8">
        <v>0</v>
      </c>
      <c r="V145" s="8">
        <v>6634.5007333159474</v>
      </c>
      <c r="W145" s="8">
        <v>0</v>
      </c>
      <c r="X145" s="8">
        <v>0</v>
      </c>
      <c r="Y145" s="8">
        <v>2.9669277369975999E-3</v>
      </c>
      <c r="Z145" s="8">
        <v>0</v>
      </c>
      <c r="AA145" s="8">
        <v>0</v>
      </c>
    </row>
    <row r="146" spans="18:31" x14ac:dyDescent="0.25">
      <c r="R146" s="56">
        <v>40118</v>
      </c>
      <c r="S146" s="8">
        <v>2534.6129190921779</v>
      </c>
      <c r="T146" s="8">
        <v>0</v>
      </c>
      <c r="U146" s="8">
        <v>0</v>
      </c>
      <c r="V146" s="8">
        <v>5786.9657482504854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56">
        <f>R146</f>
        <v>40118</v>
      </c>
      <c r="AC146" s="8">
        <f>SUM(S142:S150)</f>
        <v>8002.7690729796868</v>
      </c>
      <c r="AD146" s="8">
        <f>SUM(V142:V150)+SUM(Y142:Y150)</f>
        <v>40757.156235331531</v>
      </c>
      <c r="AE146" s="8">
        <f>SUM(T134:T145)+SUM(U134:U145)+SUM(W134:W145)+SUM(X134:X145)+SUM(Z134:Z145)+SUM(AA134:AA145)</f>
        <v>134064.0854334688</v>
      </c>
    </row>
    <row r="147" spans="18:31" x14ac:dyDescent="0.25">
      <c r="R147" s="56">
        <v>40148</v>
      </c>
      <c r="S147" s="8">
        <v>1946.3880634307866</v>
      </c>
      <c r="T147" s="8">
        <v>654.04101856797968</v>
      </c>
      <c r="U147" s="8">
        <v>0</v>
      </c>
      <c r="V147" s="8">
        <v>6922.1737223267537</v>
      </c>
      <c r="W147" s="8">
        <v>561.81614303588901</v>
      </c>
      <c r="X147" s="8">
        <v>0</v>
      </c>
      <c r="Y147" s="8">
        <v>0</v>
      </c>
      <c r="Z147" s="8">
        <v>0</v>
      </c>
      <c r="AA147" s="8">
        <v>0</v>
      </c>
      <c r="AC147" s="8">
        <f>SUM(S142:S146)+SUM(V142:V146)+SUM(Y142:Y146)</f>
        <v>22270.814600996535</v>
      </c>
      <c r="AE147" s="8">
        <f>SUM(T146:T150)+SUM(U146:U150)+SUM(W146:W150)+SUM(X146:X150)+SUM(Z146:Z150)+SUM(AA146:AA150)</f>
        <v>78467.581737719302</v>
      </c>
    </row>
    <row r="148" spans="18:31" x14ac:dyDescent="0.25">
      <c r="R148" s="56">
        <v>40179</v>
      </c>
      <c r="S148" s="8">
        <v>271.47730517387396</v>
      </c>
      <c r="T148" s="8">
        <v>24071.730489768092</v>
      </c>
      <c r="U148" s="8">
        <v>0</v>
      </c>
      <c r="V148" s="8">
        <v>4123.2963981628445</v>
      </c>
      <c r="W148" s="8">
        <v>18588.525079031482</v>
      </c>
      <c r="X148" s="8">
        <v>0</v>
      </c>
      <c r="Y148" s="8">
        <v>9.870292739942677</v>
      </c>
      <c r="Z148" s="8">
        <v>422.35954546444123</v>
      </c>
      <c r="AA148" s="8">
        <v>0</v>
      </c>
    </row>
    <row r="149" spans="18:31" x14ac:dyDescent="0.25">
      <c r="R149" s="56">
        <v>40210</v>
      </c>
      <c r="S149" s="8">
        <v>343.19674110412603</v>
      </c>
      <c r="T149" s="8">
        <v>0</v>
      </c>
      <c r="U149" s="8">
        <v>0</v>
      </c>
      <c r="V149" s="8">
        <v>9944.9323011040724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</row>
    <row r="150" spans="18:31" x14ac:dyDescent="0.25">
      <c r="R150" s="56">
        <v>40238</v>
      </c>
      <c r="S150" s="8">
        <v>521.70304512977611</v>
      </c>
      <c r="T150" s="8">
        <v>30693.745057016615</v>
      </c>
      <c r="U150" s="8">
        <v>3450.1740366816521</v>
      </c>
      <c r="V150" s="8">
        <v>2406.0728381425106</v>
      </c>
      <c r="W150" s="8">
        <v>25.19036815315485</v>
      </c>
      <c r="X150" s="8">
        <v>0</v>
      </c>
      <c r="Y150" s="8">
        <v>0</v>
      </c>
      <c r="Z150" s="8">
        <v>0</v>
      </c>
      <c r="AA150" s="8">
        <v>0</v>
      </c>
    </row>
    <row r="151" spans="18:31" x14ac:dyDescent="0.25">
      <c r="R151" s="56">
        <v>40269</v>
      </c>
      <c r="S151" s="8">
        <v>190.47233229875567</v>
      </c>
      <c r="T151" s="8">
        <v>1682.99083518982</v>
      </c>
      <c r="U151" s="8">
        <v>56.703219175338738</v>
      </c>
      <c r="V151" s="8">
        <v>723.15219366550423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</row>
    <row r="152" spans="18:31" x14ac:dyDescent="0.25">
      <c r="R152" s="56">
        <v>40299</v>
      </c>
      <c r="S152" s="8">
        <v>43.368924617767412</v>
      </c>
      <c r="T152" s="8">
        <v>10.7109375</v>
      </c>
      <c r="U152" s="8">
        <v>2.4476684331893903</v>
      </c>
      <c r="V152" s="8">
        <v>41.902658738195896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</row>
    <row r="153" spans="18:31" x14ac:dyDescent="0.25">
      <c r="R153" s="56">
        <v>40330</v>
      </c>
      <c r="S153" s="8">
        <v>69.97686694562428</v>
      </c>
      <c r="T153" s="8">
        <v>198.37704092264164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</row>
    <row r="154" spans="18:31" x14ac:dyDescent="0.25">
      <c r="R154" s="56">
        <v>40360</v>
      </c>
      <c r="S154" s="8">
        <v>55.447869956493371</v>
      </c>
      <c r="T154" s="8">
        <v>0.59709283709525995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13.324138754606253</v>
      </c>
      <c r="AA154" s="8">
        <v>0</v>
      </c>
    </row>
    <row r="155" spans="18:31" x14ac:dyDescent="0.25">
      <c r="R155" s="56">
        <v>40391</v>
      </c>
      <c r="S155" s="8">
        <v>27.09891736507419</v>
      </c>
      <c r="T155" s="8">
        <v>70029.908574223547</v>
      </c>
      <c r="U155" s="8">
        <v>2973.1930298805237</v>
      </c>
      <c r="V155" s="8">
        <v>0</v>
      </c>
      <c r="W155" s="8">
        <v>54021.514686875053</v>
      </c>
      <c r="X155" s="8">
        <v>463.04913330078131</v>
      </c>
      <c r="Y155" s="8">
        <v>0</v>
      </c>
      <c r="Z155" s="8">
        <v>3630.3052293148708</v>
      </c>
      <c r="AA155" s="8">
        <v>0</v>
      </c>
    </row>
    <row r="156" spans="18:31" x14ac:dyDescent="0.25">
      <c r="R156" s="56">
        <v>40422</v>
      </c>
      <c r="S156" s="8">
        <v>0</v>
      </c>
      <c r="T156" s="8">
        <v>27043.188037872344</v>
      </c>
      <c r="U156" s="8">
        <v>358.58386242389679</v>
      </c>
      <c r="V156" s="8">
        <v>0</v>
      </c>
      <c r="W156" s="8">
        <v>0</v>
      </c>
      <c r="X156" s="8">
        <v>6278.72265625</v>
      </c>
      <c r="Y156" s="8">
        <v>16.730590021610254</v>
      </c>
      <c r="Z156" s="8">
        <v>2242.2110024590875</v>
      </c>
      <c r="AA156" s="8">
        <v>0</v>
      </c>
    </row>
    <row r="157" spans="18:31" x14ac:dyDescent="0.25">
      <c r="R157" s="56">
        <v>40452</v>
      </c>
      <c r="S157" s="8">
        <v>0</v>
      </c>
      <c r="T157" s="8">
        <v>6880.1897735595703</v>
      </c>
      <c r="U157" s="8">
        <v>40.789196968078606</v>
      </c>
      <c r="V157" s="8">
        <v>0</v>
      </c>
      <c r="W157" s="8">
        <v>41017.946162700653</v>
      </c>
      <c r="X157" s="8">
        <v>0</v>
      </c>
      <c r="Y157" s="8">
        <v>0</v>
      </c>
      <c r="Z157" s="8">
        <v>2586.920164053668</v>
      </c>
      <c r="AA157" s="8">
        <v>0</v>
      </c>
    </row>
    <row r="158" spans="18:31" x14ac:dyDescent="0.25">
      <c r="R158" s="56">
        <v>40483</v>
      </c>
      <c r="S158" s="8">
        <v>0</v>
      </c>
      <c r="T158" s="8">
        <v>4543.9383974075317</v>
      </c>
      <c r="U158" s="8">
        <v>8.3474733829498291</v>
      </c>
      <c r="V158" s="8">
        <v>0</v>
      </c>
      <c r="W158" s="8">
        <v>3762.1264613866801</v>
      </c>
      <c r="X158" s="8">
        <v>0</v>
      </c>
      <c r="Y158" s="8">
        <v>31.195722985267647</v>
      </c>
      <c r="Z158" s="8">
        <v>797.02889228374715</v>
      </c>
      <c r="AA158" s="8">
        <v>0</v>
      </c>
      <c r="AB158" s="56">
        <f>R158</f>
        <v>40483</v>
      </c>
      <c r="AC158" s="8">
        <f>SUM(S154:S162)</f>
        <v>392.3148216605187</v>
      </c>
      <c r="AD158" s="8">
        <f>SUM(V154:V162)+SUM(Y154:Y162)</f>
        <v>29099.66720984281</v>
      </c>
      <c r="AE158" s="8">
        <f>SUM(T146:T157)+SUM(U146:U157)+SUM(W146:W157)+SUM(X146:X157)+SUM(Z146:Z157)+SUM(AA146:AA157)</f>
        <v>297999.25418041402</v>
      </c>
    </row>
    <row r="159" spans="18:31" x14ac:dyDescent="0.25">
      <c r="R159" s="56">
        <v>40513</v>
      </c>
      <c r="S159" s="8">
        <v>0</v>
      </c>
      <c r="T159" s="8">
        <v>5280.801215171814</v>
      </c>
      <c r="U159" s="8">
        <v>210</v>
      </c>
      <c r="V159" s="8">
        <v>1081.0386252999301</v>
      </c>
      <c r="W159" s="8">
        <v>6677.3134920299053</v>
      </c>
      <c r="X159" s="8">
        <v>0</v>
      </c>
      <c r="Y159" s="8">
        <v>280.43130271732809</v>
      </c>
      <c r="Z159" s="8">
        <v>1056.7969126724645</v>
      </c>
      <c r="AA159" s="8">
        <v>0</v>
      </c>
      <c r="AC159" s="8">
        <f>SUM(S154:S158)+SUM(V154:V158)+SUM(Y154:Y158)</f>
        <v>130.47310032844547</v>
      </c>
      <c r="AE159" s="8">
        <f>SUM(T158:T162)+SUM(U158:U162)+SUM(W158:W162)+SUM(X158:X162)+SUM(Z158:Z162)+SUM(AA158:AA162)</f>
        <v>99098.525562785522</v>
      </c>
    </row>
    <row r="160" spans="18:31" x14ac:dyDescent="0.25">
      <c r="R160" s="56">
        <v>40544</v>
      </c>
      <c r="S160" s="8">
        <v>0</v>
      </c>
      <c r="T160" s="8">
        <v>32893.595653533936</v>
      </c>
      <c r="U160" s="8">
        <v>1062.6914343833921</v>
      </c>
      <c r="V160" s="8">
        <v>5739.68964135647</v>
      </c>
      <c r="W160" s="8">
        <v>31481.182561278343</v>
      </c>
      <c r="X160" s="8">
        <v>614.08203125</v>
      </c>
      <c r="Y160" s="8">
        <v>3546.242768007517</v>
      </c>
      <c r="Z160" s="8">
        <v>462.82770477533307</v>
      </c>
      <c r="AA160" s="8">
        <v>0</v>
      </c>
    </row>
    <row r="161" spans="18:31" x14ac:dyDescent="0.25">
      <c r="R161" s="56">
        <v>40575</v>
      </c>
      <c r="S161" s="8">
        <v>289.86143910884863</v>
      </c>
      <c r="T161" s="8">
        <v>9974.8304722309131</v>
      </c>
      <c r="U161" s="8">
        <v>17.527123928070079</v>
      </c>
      <c r="V161" s="8">
        <v>13783.285781681543</v>
      </c>
      <c r="W161" s="8">
        <v>0</v>
      </c>
      <c r="X161" s="8">
        <v>0</v>
      </c>
      <c r="Y161" s="8">
        <v>2117.8908469498183</v>
      </c>
      <c r="Z161" s="8">
        <v>3.5853430986404415</v>
      </c>
      <c r="AA161" s="8">
        <v>0</v>
      </c>
    </row>
    <row r="162" spans="18:31" x14ac:dyDescent="0.25">
      <c r="R162" s="56">
        <v>40603</v>
      </c>
      <c r="S162" s="8">
        <v>19.9065952301025</v>
      </c>
      <c r="T162" s="8">
        <v>251.57638953626144</v>
      </c>
      <c r="U162" s="8">
        <v>0</v>
      </c>
      <c r="V162" s="8">
        <v>447.6415777206422</v>
      </c>
      <c r="W162" s="8">
        <v>0</v>
      </c>
      <c r="X162" s="8">
        <v>0</v>
      </c>
      <c r="Y162" s="8">
        <v>2055.5203531026846</v>
      </c>
      <c r="Z162" s="8">
        <v>0.27400443553924603</v>
      </c>
      <c r="AA162" s="8">
        <v>0</v>
      </c>
    </row>
    <row r="163" spans="18:31" x14ac:dyDescent="0.25">
      <c r="R163" s="56">
        <v>40634</v>
      </c>
      <c r="S163" s="8">
        <v>4.1555662155151296</v>
      </c>
      <c r="T163" s="8">
        <v>21.847940921783458</v>
      </c>
      <c r="U163" s="8">
        <v>0</v>
      </c>
      <c r="V163" s="8">
        <v>404.12781691551197</v>
      </c>
      <c r="W163" s="8">
        <v>0</v>
      </c>
      <c r="X163" s="8">
        <v>0</v>
      </c>
      <c r="Y163" s="8">
        <v>40.160458734887662</v>
      </c>
      <c r="Z163" s="8">
        <v>0</v>
      </c>
      <c r="AA163" s="8">
        <v>0</v>
      </c>
    </row>
    <row r="164" spans="18:31" x14ac:dyDescent="0.25">
      <c r="R164" s="56">
        <v>40664</v>
      </c>
      <c r="S164" s="8">
        <v>53.257418945431695</v>
      </c>
      <c r="T164" s="8">
        <v>110.68439137935638</v>
      </c>
      <c r="U164" s="8">
        <v>0</v>
      </c>
      <c r="V164" s="8">
        <v>175.72856460511684</v>
      </c>
      <c r="W164" s="8">
        <v>0</v>
      </c>
      <c r="X164" s="8">
        <v>0</v>
      </c>
      <c r="Y164" s="8">
        <v>166.46324468851094</v>
      </c>
      <c r="Z164" s="8">
        <v>0</v>
      </c>
      <c r="AA164" s="8">
        <v>0</v>
      </c>
    </row>
    <row r="165" spans="18:31" x14ac:dyDescent="0.25">
      <c r="R165" s="56">
        <v>40695</v>
      </c>
      <c r="S165" s="8">
        <v>35.984071373939507</v>
      </c>
      <c r="T165" s="8">
        <v>8937.8591130971909</v>
      </c>
      <c r="U165" s="8">
        <v>0</v>
      </c>
      <c r="V165" s="8">
        <v>122.48310917615892</v>
      </c>
      <c r="W165" s="8">
        <v>0</v>
      </c>
      <c r="X165" s="8">
        <v>0</v>
      </c>
      <c r="Y165" s="8">
        <v>173.81545484811068</v>
      </c>
      <c r="Z165" s="8">
        <v>390.04728575572426</v>
      </c>
      <c r="AA165" s="8">
        <v>0</v>
      </c>
    </row>
    <row r="166" spans="18:31" x14ac:dyDescent="0.25">
      <c r="R166" s="56">
        <v>40725</v>
      </c>
      <c r="S166" s="8">
        <v>74.781486302614226</v>
      </c>
      <c r="T166" s="8">
        <v>244.54416954517367</v>
      </c>
      <c r="U166" s="8">
        <v>0</v>
      </c>
      <c r="V166" s="8">
        <v>94.765589296817822</v>
      </c>
      <c r="W166" s="8">
        <v>0</v>
      </c>
      <c r="X166" s="8">
        <v>0</v>
      </c>
      <c r="Y166" s="8">
        <v>162.20293246507646</v>
      </c>
      <c r="Z166" s="8">
        <v>0</v>
      </c>
      <c r="AA166" s="8">
        <v>0</v>
      </c>
    </row>
    <row r="167" spans="18:31" x14ac:dyDescent="0.25">
      <c r="R167" s="56">
        <v>40756</v>
      </c>
      <c r="S167" s="8">
        <v>87.716628670692444</v>
      </c>
      <c r="T167" s="8">
        <v>193.66153430938724</v>
      </c>
      <c r="U167" s="8">
        <v>0</v>
      </c>
      <c r="V167" s="8">
        <v>195.25741140544415</v>
      </c>
      <c r="W167" s="8">
        <v>0</v>
      </c>
      <c r="X167" s="8">
        <v>0</v>
      </c>
      <c r="Y167" s="8">
        <v>259.91962964683779</v>
      </c>
      <c r="Z167" s="8">
        <v>13.531321895122563</v>
      </c>
      <c r="AA167" s="8">
        <v>0</v>
      </c>
    </row>
    <row r="168" spans="18:31" x14ac:dyDescent="0.25">
      <c r="R168" s="56">
        <v>40787</v>
      </c>
      <c r="S168" s="8">
        <v>471.20073539018648</v>
      </c>
      <c r="T168" s="8">
        <v>82.656026601791368</v>
      </c>
      <c r="U168" s="8">
        <v>0</v>
      </c>
      <c r="V168" s="8">
        <v>14716.060840427881</v>
      </c>
      <c r="W168" s="8">
        <v>0</v>
      </c>
      <c r="X168" s="8">
        <v>0</v>
      </c>
      <c r="Y168" s="8">
        <v>1819.9328770369302</v>
      </c>
      <c r="Z168" s="8">
        <v>9.7540148735046408</v>
      </c>
      <c r="AA168" s="8">
        <v>0</v>
      </c>
    </row>
    <row r="169" spans="18:31" x14ac:dyDescent="0.25">
      <c r="R169" s="56">
        <v>40817</v>
      </c>
      <c r="S169" s="8">
        <v>4.6833300590515101</v>
      </c>
      <c r="T169" s="8">
        <v>17612.771615028389</v>
      </c>
      <c r="U169" s="8">
        <v>0</v>
      </c>
      <c r="V169" s="8">
        <v>5331.5689377784711</v>
      </c>
      <c r="W169" s="8">
        <v>12587.854875385297</v>
      </c>
      <c r="X169" s="8">
        <v>0</v>
      </c>
      <c r="Y169" s="8">
        <v>49.37794510722162</v>
      </c>
      <c r="Z169" s="8">
        <v>451.31393287776757</v>
      </c>
      <c r="AA169" s="8">
        <v>0</v>
      </c>
    </row>
    <row r="170" spans="18:31" x14ac:dyDescent="0.25">
      <c r="R170" s="56">
        <v>40848</v>
      </c>
      <c r="S170" s="8">
        <v>871.46270418167092</v>
      </c>
      <c r="T170" s="8">
        <v>11905.51798439027</v>
      </c>
      <c r="U170" s="8">
        <v>2356.08251953125</v>
      </c>
      <c r="V170" s="8">
        <v>22759.301293611519</v>
      </c>
      <c r="W170" s="8">
        <v>6002.2042753771038</v>
      </c>
      <c r="X170" s="8">
        <v>480</v>
      </c>
      <c r="Y170" s="8">
        <v>792.53908664421192</v>
      </c>
      <c r="Z170" s="8">
        <v>3548.5342050489048</v>
      </c>
      <c r="AA170" s="8">
        <v>3775.3574707031253</v>
      </c>
      <c r="AB170" s="56">
        <f>R170</f>
        <v>40848</v>
      </c>
      <c r="AC170" s="8">
        <f>SUM(S166:S174)</f>
        <v>3184.9006326198582</v>
      </c>
      <c r="AD170" s="8">
        <f>SUM(V166:V174)+SUM(Y166:Y174)</f>
        <v>55456.148846743861</v>
      </c>
      <c r="AE170" s="8">
        <f>SUM(T158:T169)+SUM(U158:U169)+SUM(W158:W169)+SUM(X158:X169)+SUM(Z158:Z169)+SUM(AA158:AA169)</f>
        <v>139755.05178445601</v>
      </c>
    </row>
    <row r="171" spans="18:31" x14ac:dyDescent="0.25">
      <c r="R171" s="56">
        <v>40878</v>
      </c>
      <c r="S171" s="8">
        <v>35.027549266815193</v>
      </c>
      <c r="T171" s="8">
        <v>31267.768508553519</v>
      </c>
      <c r="U171" s="8">
        <v>447.869384765625</v>
      </c>
      <c r="V171" s="8">
        <v>682.64240992069267</v>
      </c>
      <c r="W171" s="8">
        <v>26367.207762062542</v>
      </c>
      <c r="X171" s="8">
        <v>0</v>
      </c>
      <c r="Y171" s="8">
        <v>0.109499979019165</v>
      </c>
      <c r="Z171" s="8">
        <v>4104.8839581724269</v>
      </c>
      <c r="AA171" s="8">
        <v>32.98779296875</v>
      </c>
      <c r="AC171" s="8">
        <f>SUM(S166:S170)+SUM(V166:V170)+SUM(Y166:Y170)</f>
        <v>47690.771428024629</v>
      </c>
      <c r="AE171" s="8">
        <f>SUM(T170:T174)+SUM(U170:U174)+SUM(W170:W174)+SUM(X170:X174)+SUM(Z170:Z174)+SUM(AA170:AA174)</f>
        <v>133085.22672087396</v>
      </c>
    </row>
    <row r="172" spans="18:31" x14ac:dyDescent="0.25">
      <c r="R172" s="56">
        <v>40909</v>
      </c>
      <c r="S172" s="8">
        <v>461.06688067317032</v>
      </c>
      <c r="T172" s="8">
        <v>3620.5628960132626</v>
      </c>
      <c r="U172" s="8">
        <v>0</v>
      </c>
      <c r="V172" s="8">
        <v>6606.3427033424377</v>
      </c>
      <c r="W172" s="8">
        <v>0.23210123181343101</v>
      </c>
      <c r="X172" s="8">
        <v>0</v>
      </c>
      <c r="Y172" s="8">
        <v>3.4049924358725505</v>
      </c>
      <c r="Z172" s="8">
        <v>164.81352388858792</v>
      </c>
      <c r="AA172" s="8">
        <v>92.4697265625</v>
      </c>
    </row>
    <row r="173" spans="18:31" x14ac:dyDescent="0.25">
      <c r="R173" s="56">
        <v>40940</v>
      </c>
      <c r="S173" s="8">
        <v>41.37629759311676</v>
      </c>
      <c r="T173" s="8">
        <v>17923.319662570957</v>
      </c>
      <c r="U173" s="8">
        <v>0</v>
      </c>
      <c r="V173" s="8">
        <v>407.35012733936315</v>
      </c>
      <c r="W173" s="8">
        <v>20212.559517025948</v>
      </c>
      <c r="X173" s="8">
        <v>0</v>
      </c>
      <c r="Y173" s="8">
        <v>0</v>
      </c>
      <c r="Z173" s="8">
        <v>254.97154316902163</v>
      </c>
      <c r="AA173" s="8">
        <v>32.015820312500004</v>
      </c>
    </row>
    <row r="174" spans="18:31" x14ac:dyDescent="0.25">
      <c r="R174" s="56">
        <v>40969</v>
      </c>
      <c r="S174" s="8">
        <v>1137.5850204825404</v>
      </c>
      <c r="T174" s="8">
        <v>194.96949472650888</v>
      </c>
      <c r="U174" s="8">
        <v>0</v>
      </c>
      <c r="V174" s="8">
        <v>1524.0449257791042</v>
      </c>
      <c r="W174" s="8">
        <v>270.51864288980141</v>
      </c>
      <c r="X174" s="8">
        <v>0</v>
      </c>
      <c r="Y174" s="8">
        <v>51.32764452695848</v>
      </c>
      <c r="Z174" s="8">
        <v>30.379930909548449</v>
      </c>
      <c r="AA174" s="8">
        <v>0</v>
      </c>
    </row>
    <row r="175" spans="18:31" x14ac:dyDescent="0.25">
      <c r="R175" s="56">
        <v>41000</v>
      </c>
      <c r="S175" s="8">
        <v>1010.1965074539189</v>
      </c>
      <c r="T175" s="8">
        <v>0</v>
      </c>
      <c r="U175" s="8">
        <v>0</v>
      </c>
      <c r="V175" s="8">
        <v>2135.798882484436</v>
      </c>
      <c r="W175" s="8">
        <v>0</v>
      </c>
      <c r="X175" s="8">
        <v>0</v>
      </c>
      <c r="Y175" s="8">
        <v>3.087954234331848</v>
      </c>
      <c r="Z175" s="8">
        <v>0</v>
      </c>
      <c r="AA175" s="8">
        <v>0</v>
      </c>
    </row>
    <row r="176" spans="18:31" x14ac:dyDescent="0.25">
      <c r="R176" s="56">
        <v>41030</v>
      </c>
      <c r="S176" s="8">
        <v>106.20191359519963</v>
      </c>
      <c r="T176" s="8">
        <v>3.5629701614379901</v>
      </c>
      <c r="U176" s="8">
        <v>0</v>
      </c>
      <c r="V176" s="8">
        <v>33.365647137165077</v>
      </c>
      <c r="W176" s="8">
        <v>0</v>
      </c>
      <c r="X176" s="8">
        <v>0</v>
      </c>
      <c r="Y176" s="8">
        <v>2.2397613823413849</v>
      </c>
      <c r="Z176" s="8">
        <v>12.159016571729421</v>
      </c>
      <c r="AA176" s="8">
        <v>0</v>
      </c>
    </row>
    <row r="177" spans="18:31" x14ac:dyDescent="0.25">
      <c r="R177" s="56">
        <v>41061</v>
      </c>
      <c r="S177" s="8">
        <v>50.095372676849387</v>
      </c>
      <c r="T177" s="8">
        <v>14.905155658721911</v>
      </c>
      <c r="U177" s="8">
        <v>0</v>
      </c>
      <c r="V177" s="8">
        <v>0</v>
      </c>
      <c r="W177" s="8">
        <v>0</v>
      </c>
      <c r="X177" s="8">
        <v>0</v>
      </c>
      <c r="Y177" s="8">
        <v>1.5372428894042971</v>
      </c>
      <c r="Z177" s="8">
        <v>45.4987182188313</v>
      </c>
      <c r="AA177" s="8">
        <v>0</v>
      </c>
    </row>
    <row r="178" spans="18:31" x14ac:dyDescent="0.25">
      <c r="R178" s="56">
        <v>41091</v>
      </c>
      <c r="S178" s="8">
        <v>55.82160854339601</v>
      </c>
      <c r="T178" s="8">
        <v>6658.5490213632593</v>
      </c>
      <c r="U178" s="8">
        <v>0</v>
      </c>
      <c r="V178" s="8">
        <v>7.1868969798088056</v>
      </c>
      <c r="W178" s="8">
        <v>12755.639251708984</v>
      </c>
      <c r="X178" s="8">
        <v>0</v>
      </c>
      <c r="Y178" s="8">
        <v>0.76821272969245924</v>
      </c>
      <c r="Z178" s="8">
        <v>2047.5370711118101</v>
      </c>
      <c r="AA178" s="8">
        <v>364.74914550781301</v>
      </c>
    </row>
    <row r="179" spans="18:31" x14ac:dyDescent="0.25">
      <c r="R179" s="56">
        <v>41122</v>
      </c>
      <c r="S179" s="8">
        <v>624.50929331779491</v>
      </c>
      <c r="T179" s="8">
        <v>155.83369040489208</v>
      </c>
      <c r="U179" s="8">
        <v>0</v>
      </c>
      <c r="V179" s="8">
        <v>269.84361669421185</v>
      </c>
      <c r="W179" s="8">
        <v>20.110641241073608</v>
      </c>
      <c r="X179" s="8">
        <v>0</v>
      </c>
      <c r="Y179" s="8">
        <v>2.076181137561798</v>
      </c>
      <c r="Z179" s="8">
        <v>19.175021457672134</v>
      </c>
      <c r="AA179" s="8">
        <v>0</v>
      </c>
    </row>
    <row r="180" spans="18:31" x14ac:dyDescent="0.25">
      <c r="R180" s="56">
        <v>41153</v>
      </c>
      <c r="S180" s="8">
        <v>713.12016725540161</v>
      </c>
      <c r="T180" s="8">
        <v>0</v>
      </c>
      <c r="U180" s="8">
        <v>0</v>
      </c>
      <c r="V180" s="8">
        <v>6553.0836243629446</v>
      </c>
      <c r="W180" s="8">
        <v>0</v>
      </c>
      <c r="X180" s="8">
        <v>0</v>
      </c>
      <c r="Y180" s="8">
        <v>72.029663950204863</v>
      </c>
      <c r="Z180" s="8">
        <v>0</v>
      </c>
      <c r="AA180" s="8">
        <v>0</v>
      </c>
    </row>
    <row r="181" spans="18:31" x14ac:dyDescent="0.25">
      <c r="R181" s="56">
        <v>41183</v>
      </c>
      <c r="S181" s="8">
        <v>4360.0646307468442</v>
      </c>
      <c r="T181" s="8">
        <v>0</v>
      </c>
      <c r="U181" s="8">
        <v>0</v>
      </c>
      <c r="V181" s="8">
        <v>23720.30853036046</v>
      </c>
      <c r="W181" s="8">
        <v>0</v>
      </c>
      <c r="X181" s="8">
        <v>0</v>
      </c>
      <c r="Y181" s="8">
        <v>118.98656059659557</v>
      </c>
      <c r="Z181" s="8">
        <v>0</v>
      </c>
      <c r="AA181" s="8">
        <v>0</v>
      </c>
    </row>
    <row r="182" spans="18:31" x14ac:dyDescent="0.25">
      <c r="R182" s="56">
        <v>41214</v>
      </c>
      <c r="S182" s="8">
        <v>9277.8188481330872</v>
      </c>
      <c r="T182" s="8">
        <v>11.3138942718506</v>
      </c>
      <c r="U182" s="8">
        <v>0</v>
      </c>
      <c r="V182" s="8">
        <v>30069.953806415208</v>
      </c>
      <c r="W182" s="8">
        <v>27.132261276245099</v>
      </c>
      <c r="X182" s="8">
        <v>0</v>
      </c>
      <c r="Y182" s="8">
        <v>3430.8746579408639</v>
      </c>
      <c r="Z182" s="8">
        <v>0</v>
      </c>
      <c r="AA182" s="8">
        <v>0</v>
      </c>
      <c r="AB182" s="56">
        <f>R182</f>
        <v>41214</v>
      </c>
      <c r="AC182" s="8">
        <f>SUM(S178:S186)</f>
        <v>46077.064218401916</v>
      </c>
      <c r="AD182" s="8">
        <f>SUM(V178:V186)+SUM(Y178:Y186)</f>
        <v>166163.85906150617</v>
      </c>
      <c r="AE182" s="8">
        <f>SUM(T170:T181)+SUM(U170:U181)+SUM(W170:W181)+SUM(X170:X181)+SUM(Z170:Z181)+SUM(AA170:AA181)</f>
        <v>155182.94642428018</v>
      </c>
    </row>
    <row r="183" spans="18:31" x14ac:dyDescent="0.25">
      <c r="R183" s="56">
        <v>41244</v>
      </c>
      <c r="S183" s="8">
        <v>24215.473112449054</v>
      </c>
      <c r="T183" s="8">
        <v>5963.6106910705585</v>
      </c>
      <c r="U183" s="8">
        <v>0</v>
      </c>
      <c r="V183" s="8">
        <v>48817.02926161886</v>
      </c>
      <c r="W183" s="8">
        <v>4353.764162838459</v>
      </c>
      <c r="X183" s="8">
        <v>0</v>
      </c>
      <c r="Y183" s="8">
        <v>7710.5991424767872</v>
      </c>
      <c r="Z183" s="8">
        <v>425.35950866937605</v>
      </c>
      <c r="AA183" s="8">
        <v>0</v>
      </c>
      <c r="AC183" s="8">
        <f>SUM(S178:S182)+SUM(V178:V182)+SUM(Y178:Y182)</f>
        <v>79276.446299164076</v>
      </c>
      <c r="AE183" s="8">
        <f>SUM(T182:T186)+SUM(U182:U186)+SUM(W182:W186)+SUM(X182:X186)+SUM(Z182:Z186)+SUM(AA182:AA186)</f>
        <v>208405.09983376102</v>
      </c>
    </row>
    <row r="184" spans="18:31" x14ac:dyDescent="0.25">
      <c r="R184" s="56">
        <v>41275</v>
      </c>
      <c r="S184" s="8">
        <v>5981.8228466063765</v>
      </c>
      <c r="T184" s="8">
        <v>25295.818278789528</v>
      </c>
      <c r="U184" s="8">
        <v>4694.5212707519531</v>
      </c>
      <c r="V184" s="8">
        <v>30386.345650196079</v>
      </c>
      <c r="W184" s="8">
        <v>6276.0579645633679</v>
      </c>
      <c r="X184" s="8">
        <v>2543.0152740478516</v>
      </c>
      <c r="Y184" s="8">
        <v>13086.209246098995</v>
      </c>
      <c r="Z184" s="8">
        <v>1421.4966953206808</v>
      </c>
      <c r="AA184" s="8">
        <v>10.696850585937501</v>
      </c>
    </row>
    <row r="185" spans="18:31" x14ac:dyDescent="0.25">
      <c r="R185" s="56">
        <v>41306</v>
      </c>
      <c r="S185" s="8">
        <v>778.75996732711837</v>
      </c>
      <c r="T185" s="8">
        <v>65463.059803009048</v>
      </c>
      <c r="U185" s="8">
        <v>4093.2941150665283</v>
      </c>
      <c r="V185" s="8">
        <v>1225.7013819692656</v>
      </c>
      <c r="W185" s="8">
        <v>38966.101876795314</v>
      </c>
      <c r="X185" s="8">
        <v>336</v>
      </c>
      <c r="Y185" s="8">
        <v>459.19728126525865</v>
      </c>
      <c r="Z185" s="8">
        <v>891.73907494544972</v>
      </c>
      <c r="AA185" s="8">
        <v>0</v>
      </c>
    </row>
    <row r="186" spans="18:31" x14ac:dyDescent="0.25">
      <c r="R186" s="56">
        <v>41334</v>
      </c>
      <c r="S186" s="8">
        <v>69.673744022846222</v>
      </c>
      <c r="T186" s="8">
        <v>22085.808797359463</v>
      </c>
      <c r="U186" s="8">
        <v>2331.740234375</v>
      </c>
      <c r="V186" s="8">
        <v>192.11274856328976</v>
      </c>
      <c r="W186" s="8">
        <v>21064.525516062975</v>
      </c>
      <c r="X186" s="8">
        <v>234</v>
      </c>
      <c r="Y186" s="8">
        <v>41.552598150074502</v>
      </c>
      <c r="Z186" s="8">
        <v>1916.0435639614234</v>
      </c>
      <c r="AA186" s="8">
        <v>0</v>
      </c>
    </row>
    <row r="187" spans="18:31" x14ac:dyDescent="0.25">
      <c r="R187" s="56">
        <v>41365</v>
      </c>
      <c r="S187" s="8">
        <v>54.263126000761893</v>
      </c>
      <c r="T187" s="8">
        <v>640.50215315818787</v>
      </c>
      <c r="U187" s="8">
        <v>25.495703220367432</v>
      </c>
      <c r="V187" s="8">
        <v>182.04170563817024</v>
      </c>
      <c r="W187" s="8">
        <v>354.19494326412672</v>
      </c>
      <c r="X187" s="8">
        <v>0</v>
      </c>
      <c r="Y187" s="8">
        <v>3.7521510720253035</v>
      </c>
      <c r="Z187" s="8">
        <v>0</v>
      </c>
      <c r="AA187" s="8">
        <v>0</v>
      </c>
    </row>
    <row r="188" spans="18:31" x14ac:dyDescent="0.25">
      <c r="R188" s="56">
        <v>41395</v>
      </c>
      <c r="S188" s="8">
        <v>224.63469283282754</v>
      </c>
      <c r="T188" s="8">
        <v>244.19579261541367</v>
      </c>
      <c r="U188" s="8">
        <v>0</v>
      </c>
      <c r="V188" s="8">
        <v>153.12625662982467</v>
      </c>
      <c r="W188" s="8">
        <v>352.46840345859539</v>
      </c>
      <c r="X188" s="8">
        <v>0</v>
      </c>
      <c r="Y188" s="8">
        <v>3.4682282865047491</v>
      </c>
      <c r="Z188" s="8">
        <v>0</v>
      </c>
      <c r="AA188" s="8">
        <v>0</v>
      </c>
    </row>
    <row r="189" spans="18:31" x14ac:dyDescent="0.25">
      <c r="R189" s="56">
        <v>41426</v>
      </c>
      <c r="S189" s="8">
        <v>16.333497732877738</v>
      </c>
      <c r="T189" s="8">
        <v>4496.0823568701753</v>
      </c>
      <c r="U189" s="8">
        <v>0</v>
      </c>
      <c r="V189" s="8">
        <v>8.2767609208822286</v>
      </c>
      <c r="W189" s="8">
        <v>5370.1485311388988</v>
      </c>
      <c r="X189" s="8">
        <v>0</v>
      </c>
      <c r="Y189" s="8">
        <v>1.3389071688055993</v>
      </c>
      <c r="Z189" s="8">
        <v>31.431777673133183</v>
      </c>
      <c r="AA189" s="8">
        <v>0</v>
      </c>
    </row>
    <row r="190" spans="18:31" x14ac:dyDescent="0.25">
      <c r="R190" s="56">
        <v>41456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6.5330861568450915</v>
      </c>
      <c r="Z190" s="8">
        <v>22.983593240333697</v>
      </c>
      <c r="AA190" s="8">
        <v>0</v>
      </c>
    </row>
    <row r="191" spans="18:31" x14ac:dyDescent="0.25">
      <c r="R191" s="56">
        <v>41487</v>
      </c>
      <c r="S191" s="8">
        <v>22.26614010334016</v>
      </c>
      <c r="T191" s="8">
        <v>87.094092071056366</v>
      </c>
      <c r="U191" s="8">
        <v>0</v>
      </c>
      <c r="V191" s="8">
        <v>20.487676143646244</v>
      </c>
      <c r="W191" s="8">
        <v>0</v>
      </c>
      <c r="X191" s="8">
        <v>0</v>
      </c>
      <c r="Y191" s="8">
        <v>82.052579671144485</v>
      </c>
      <c r="Z191" s="8">
        <v>0</v>
      </c>
      <c r="AA191" s="8">
        <v>0</v>
      </c>
    </row>
    <row r="192" spans="18:31" x14ac:dyDescent="0.25">
      <c r="R192" s="56">
        <v>41518</v>
      </c>
      <c r="S192" s="8">
        <v>547.00917285680748</v>
      </c>
      <c r="T192" s="8">
        <v>0</v>
      </c>
      <c r="U192" s="8">
        <v>0</v>
      </c>
      <c r="V192" s="8">
        <v>910.47068691253662</v>
      </c>
      <c r="W192" s="8">
        <v>0</v>
      </c>
      <c r="X192" s="8">
        <v>0</v>
      </c>
      <c r="Y192" s="8">
        <v>2369.1250899832698</v>
      </c>
      <c r="Z192" s="8">
        <v>93.780761772394214</v>
      </c>
      <c r="AA192" s="8">
        <v>0</v>
      </c>
    </row>
    <row r="193" spans="18:31" x14ac:dyDescent="0.25">
      <c r="R193" s="56">
        <v>41548</v>
      </c>
      <c r="S193" s="8">
        <v>868.32732272148144</v>
      </c>
      <c r="T193" s="8">
        <v>0</v>
      </c>
      <c r="U193" s="8">
        <v>0</v>
      </c>
      <c r="V193" s="8">
        <v>18450.455163449045</v>
      </c>
      <c r="W193" s="8">
        <v>0</v>
      </c>
      <c r="X193" s="8">
        <v>0</v>
      </c>
      <c r="Y193" s="8">
        <v>1000.0476863116027</v>
      </c>
      <c r="Z193" s="8">
        <v>0</v>
      </c>
      <c r="AA193" s="8">
        <v>0</v>
      </c>
    </row>
    <row r="194" spans="18:31" x14ac:dyDescent="0.25">
      <c r="R194" s="56">
        <v>41579</v>
      </c>
      <c r="S194" s="8">
        <v>5100.2975794672984</v>
      </c>
      <c r="T194" s="8">
        <v>8.4338073730468803</v>
      </c>
      <c r="U194" s="8">
        <v>0</v>
      </c>
      <c r="V194" s="8">
        <v>29241.647382557392</v>
      </c>
      <c r="W194" s="8">
        <v>0</v>
      </c>
      <c r="X194" s="8">
        <v>0</v>
      </c>
      <c r="Y194" s="8">
        <v>4750.1064516782762</v>
      </c>
      <c r="Z194" s="8">
        <v>56.425700569152859</v>
      </c>
      <c r="AA194" s="8">
        <v>0</v>
      </c>
      <c r="AB194" s="56">
        <f>R194</f>
        <v>41579</v>
      </c>
      <c r="AC194" s="8">
        <f>SUM(S190:S198)</f>
        <v>27612.919156700373</v>
      </c>
      <c r="AD194" s="8">
        <f>SUM(V190:V198)+SUM(Y190:Y198)</f>
        <v>176519.49771226797</v>
      </c>
      <c r="AE194" s="8">
        <f>SUM(T182:T193)+SUM(U182:U193)+SUM(W182:W193)+SUM(X182:X193)+SUM(Z182:Z193)+SUM(AA182:AA193)</f>
        <v>220123.47794224368</v>
      </c>
    </row>
    <row r="195" spans="18:31" x14ac:dyDescent="0.25">
      <c r="R195" s="56">
        <v>41609</v>
      </c>
      <c r="S195" s="8">
        <v>10863.891481637953</v>
      </c>
      <c r="T195" s="8">
        <v>0</v>
      </c>
      <c r="U195" s="8">
        <v>0</v>
      </c>
      <c r="V195" s="8">
        <v>42681.898500204086</v>
      </c>
      <c r="W195" s="8">
        <v>0</v>
      </c>
      <c r="X195" s="8">
        <v>0</v>
      </c>
      <c r="Y195" s="8">
        <v>7647.8749175190942</v>
      </c>
      <c r="Z195" s="8">
        <v>0</v>
      </c>
      <c r="AA195" s="8">
        <v>0</v>
      </c>
      <c r="AC195" s="8">
        <f>SUM(S190:S194)+SUM(V190:V194)+SUM(Y190:Y194)</f>
        <v>63368.826018012689</v>
      </c>
      <c r="AE195" s="8">
        <f>SUM(T194:T198)+SUM(U194:U198)+SUM(W194:W198)+SUM(X194:X198)+SUM(Z194:Z198)+SUM(AA194:AA198)</f>
        <v>19010.174102097757</v>
      </c>
    </row>
    <row r="196" spans="18:31" x14ac:dyDescent="0.25">
      <c r="R196" s="56">
        <v>41640</v>
      </c>
      <c r="S196" s="8">
        <v>5812.4703228473672</v>
      </c>
      <c r="T196" s="8">
        <v>0</v>
      </c>
      <c r="U196" s="8">
        <v>0</v>
      </c>
      <c r="V196" s="8">
        <v>34572.657926365755</v>
      </c>
      <c r="W196" s="8">
        <v>0</v>
      </c>
      <c r="X196" s="8">
        <v>0</v>
      </c>
      <c r="Y196" s="8">
        <v>10753.323668861391</v>
      </c>
      <c r="Z196" s="8">
        <v>0</v>
      </c>
      <c r="AA196" s="8">
        <v>0</v>
      </c>
    </row>
    <row r="197" spans="18:31" x14ac:dyDescent="0.25">
      <c r="R197" s="56">
        <v>41671</v>
      </c>
      <c r="S197" s="8">
        <v>2619.3425171971312</v>
      </c>
      <c r="T197" s="8">
        <v>0</v>
      </c>
      <c r="U197" s="8">
        <v>0</v>
      </c>
      <c r="V197" s="8">
        <v>16993.911490738392</v>
      </c>
      <c r="W197" s="8">
        <v>0</v>
      </c>
      <c r="X197" s="8">
        <v>0</v>
      </c>
      <c r="Y197" s="8">
        <v>3329.4445695582799</v>
      </c>
      <c r="Z197" s="8">
        <v>0</v>
      </c>
      <c r="AA197" s="8">
        <v>0</v>
      </c>
    </row>
    <row r="198" spans="18:31" x14ac:dyDescent="0.25">
      <c r="R198" s="56">
        <v>41699</v>
      </c>
      <c r="S198" s="8">
        <v>1779.314619868994</v>
      </c>
      <c r="T198" s="8">
        <v>13524.261459827432</v>
      </c>
      <c r="U198" s="8">
        <v>649.6296005249028</v>
      </c>
      <c r="V198" s="8">
        <v>2878.9300954341879</v>
      </c>
      <c r="W198" s="8">
        <v>4249.6646795272827</v>
      </c>
      <c r="X198" s="8">
        <v>0</v>
      </c>
      <c r="Y198" s="8">
        <v>830.53074072301376</v>
      </c>
      <c r="Z198" s="8">
        <v>521.75885427594164</v>
      </c>
      <c r="AA198" s="8">
        <v>0</v>
      </c>
    </row>
    <row r="199" spans="18:31" x14ac:dyDescent="0.25">
      <c r="R199" s="56">
        <v>41730</v>
      </c>
      <c r="S199" s="8">
        <v>363.73864269256592</v>
      </c>
      <c r="T199" s="8">
        <v>34307.546212315559</v>
      </c>
      <c r="U199" s="8">
        <v>724.42703330516815</v>
      </c>
      <c r="V199" s="8">
        <v>48.279156863689394</v>
      </c>
      <c r="W199" s="8">
        <v>9835.7504723351449</v>
      </c>
      <c r="X199" s="8">
        <v>0</v>
      </c>
      <c r="Y199" s="8">
        <v>3.7821757331490518</v>
      </c>
      <c r="Z199" s="8">
        <v>88.324666690826419</v>
      </c>
      <c r="AA199" s="8">
        <v>0</v>
      </c>
    </row>
    <row r="200" spans="18:31" x14ac:dyDescent="0.25">
      <c r="R200" s="56">
        <v>41760</v>
      </c>
      <c r="S200" s="8">
        <v>244.52460688352588</v>
      </c>
      <c r="T200" s="8">
        <v>392.75918579101563</v>
      </c>
      <c r="U200" s="8">
        <v>2.461669921875</v>
      </c>
      <c r="V200" s="8">
        <v>406.17656329274189</v>
      </c>
      <c r="W200" s="8">
        <v>0</v>
      </c>
      <c r="X200" s="8">
        <v>0</v>
      </c>
      <c r="Y200" s="8">
        <v>1.4008555889129646</v>
      </c>
      <c r="Z200" s="8">
        <v>0</v>
      </c>
      <c r="AA200" s="8">
        <v>0</v>
      </c>
    </row>
    <row r="201" spans="18:31" x14ac:dyDescent="0.25">
      <c r="R201" s="56">
        <v>41791</v>
      </c>
      <c r="S201" s="8">
        <v>405.66369616985219</v>
      </c>
      <c r="T201" s="8">
        <v>0</v>
      </c>
      <c r="U201" s="8">
        <v>0</v>
      </c>
      <c r="V201" s="8">
        <v>75.753177568316474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94"/>
  <sheetViews>
    <sheetView topLeftCell="AR25" workbookViewId="0">
      <selection activeCell="CK87" sqref="CK87"/>
    </sheetView>
  </sheetViews>
  <sheetFormatPr defaultRowHeight="15" x14ac:dyDescent="0.25"/>
  <cols>
    <col min="30" max="30" width="12" customWidth="1"/>
    <col min="31" max="32" width="13" customWidth="1"/>
    <col min="33" max="33" width="12.42578125" customWidth="1"/>
    <col min="46" max="46" width="12" bestFit="1" customWidth="1"/>
    <col min="47" max="48" width="11" bestFit="1" customWidth="1"/>
    <col min="49" max="49" width="12" bestFit="1" customWidth="1"/>
    <col min="50" max="51" width="11" bestFit="1" customWidth="1"/>
    <col min="52" max="52" width="11.140625" bestFit="1" customWidth="1"/>
    <col min="53" max="54" width="11" bestFit="1" customWidth="1"/>
    <col min="55" max="57" width="9.28515625" bestFit="1" customWidth="1"/>
    <col min="84" max="85" width="12" bestFit="1" customWidth="1"/>
    <col min="86" max="88" width="11.28515625" bestFit="1" customWidth="1"/>
    <col min="137" max="137" width="10" bestFit="1" customWidth="1"/>
    <col min="138" max="138" width="11" bestFit="1" customWidth="1"/>
    <col min="139" max="139" width="9.28515625" bestFit="1" customWidth="1"/>
    <col min="141" max="141" width="12" bestFit="1" customWidth="1"/>
    <col min="142" max="142" width="12.140625" bestFit="1" customWidth="1"/>
    <col min="144" max="145" width="12" bestFit="1" customWidth="1"/>
  </cols>
  <sheetData>
    <row r="1" spans="1:167" ht="105" x14ac:dyDescent="0.25">
      <c r="A1" s="23" t="s">
        <v>604</v>
      </c>
      <c r="B1" s="23"/>
      <c r="C1" s="23"/>
      <c r="D1" s="23"/>
      <c r="E1" s="23"/>
      <c r="AC1" t="s">
        <v>248</v>
      </c>
      <c r="AD1" s="53" t="s">
        <v>275</v>
      </c>
      <c r="AE1" s="53" t="s">
        <v>277</v>
      </c>
      <c r="AF1" s="53" t="s">
        <v>279</v>
      </c>
      <c r="AG1" s="53" t="s">
        <v>281</v>
      </c>
      <c r="AM1" s="37" t="s">
        <v>78</v>
      </c>
      <c r="AN1" s="37" t="s">
        <v>283</v>
      </c>
      <c r="AO1" s="37" t="s">
        <v>289</v>
      </c>
      <c r="AP1" s="37" t="s">
        <v>290</v>
      </c>
      <c r="AQ1" s="37" t="s">
        <v>293</v>
      </c>
      <c r="AR1" s="37"/>
      <c r="AS1" s="37"/>
      <c r="AT1" s="37"/>
      <c r="AU1" s="37" t="s">
        <v>286</v>
      </c>
      <c r="AY1" s="37" t="s">
        <v>287</v>
      </c>
      <c r="BD1" s="37" t="str">
        <f>AM1</f>
        <v>plant Oct</v>
      </c>
      <c r="BE1" s="37" t="s">
        <v>288</v>
      </c>
      <c r="BF1" s="37" t="s">
        <v>294</v>
      </c>
      <c r="BG1" s="37" t="s">
        <v>295</v>
      </c>
      <c r="BS1" t="s">
        <v>310</v>
      </c>
      <c r="CB1" t="s">
        <v>271</v>
      </c>
      <c r="CC1" t="s">
        <v>272</v>
      </c>
      <c r="CD1" t="s">
        <v>467</v>
      </c>
      <c r="CE1" t="s">
        <v>407</v>
      </c>
      <c r="CF1" t="s">
        <v>465</v>
      </c>
      <c r="CG1" t="s">
        <v>466</v>
      </c>
      <c r="CJ1" s="8"/>
      <c r="CN1" s="37" t="s">
        <v>334</v>
      </c>
      <c r="CO1" s="2" t="s">
        <v>1</v>
      </c>
      <c r="CP1" s="2" t="s">
        <v>2</v>
      </c>
      <c r="CQ1" s="2" t="s">
        <v>3</v>
      </c>
      <c r="CR1" s="2" t="s">
        <v>4</v>
      </c>
      <c r="CS1" s="2" t="s">
        <v>5</v>
      </c>
      <c r="CT1" s="2" t="s">
        <v>6</v>
      </c>
      <c r="CU1" s="2" t="s">
        <v>7</v>
      </c>
      <c r="CV1" s="2" t="s">
        <v>8</v>
      </c>
      <c r="CW1" s="2" t="s">
        <v>9</v>
      </c>
      <c r="CX1" s="2" t="s">
        <v>10</v>
      </c>
      <c r="CY1" s="2" t="s">
        <v>11</v>
      </c>
      <c r="CZ1" s="2" t="s">
        <v>12</v>
      </c>
      <c r="DA1" s="2" t="s">
        <v>460</v>
      </c>
      <c r="DB1" s="2" t="s">
        <v>174</v>
      </c>
      <c r="DH1" s="37" t="s">
        <v>341</v>
      </c>
      <c r="DI1" s="2" t="s">
        <v>1</v>
      </c>
      <c r="DJ1" s="2" t="s">
        <v>2</v>
      </c>
      <c r="DK1" s="2" t="s">
        <v>3</v>
      </c>
      <c r="DL1" s="2" t="s">
        <v>4</v>
      </c>
      <c r="DM1" s="2" t="s">
        <v>5</v>
      </c>
      <c r="DN1" s="2" t="s">
        <v>6</v>
      </c>
      <c r="DO1" s="2" t="s">
        <v>7</v>
      </c>
      <c r="DP1" s="2" t="s">
        <v>8</v>
      </c>
      <c r="DQ1" s="2" t="s">
        <v>9</v>
      </c>
      <c r="DR1" s="2" t="s">
        <v>10</v>
      </c>
      <c r="DS1" s="2" t="s">
        <v>11</v>
      </c>
      <c r="DT1" s="2" t="s">
        <v>12</v>
      </c>
      <c r="DU1" s="2" t="s">
        <v>123</v>
      </c>
      <c r="DV1" s="2" t="s">
        <v>174</v>
      </c>
      <c r="DX1" s="60" t="s">
        <v>335</v>
      </c>
      <c r="DY1" s="60" t="s">
        <v>336</v>
      </c>
      <c r="DZ1" s="60" t="s">
        <v>337</v>
      </c>
      <c r="FF1" t="s">
        <v>271</v>
      </c>
      <c r="FG1" t="s">
        <v>272</v>
      </c>
      <c r="FH1" t="s">
        <v>362</v>
      </c>
    </row>
    <row r="2" spans="1:167" x14ac:dyDescent="0.25">
      <c r="A2" s="1"/>
      <c r="B2" s="1" t="s">
        <v>292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AB2" t="s">
        <v>212</v>
      </c>
      <c r="AC2" t="s">
        <v>229</v>
      </c>
      <c r="AD2" s="54" t="s">
        <v>276</v>
      </c>
      <c r="AE2" s="54" t="s">
        <v>278</v>
      </c>
      <c r="AF2" s="54" t="s">
        <v>280</v>
      </c>
      <c r="AG2" s="55" t="s">
        <v>282</v>
      </c>
      <c r="AM2" t="s">
        <v>177</v>
      </c>
      <c r="AN2" s="8">
        <v>30000</v>
      </c>
      <c r="AO2" s="11">
        <f>AH11</f>
        <v>229195.51186773181</v>
      </c>
      <c r="AP2" s="11">
        <f>AI11</f>
        <v>25723.53280571102</v>
      </c>
      <c r="AV2">
        <f t="array" ref="AV2:AX6">LINEST(AN2:AN16,AO2:AP16,0,1)</f>
        <v>0.42057300157377842</v>
      </c>
      <c r="AW2">
        <v>6.298378373197909E-2</v>
      </c>
      <c r="AX2">
        <v>0</v>
      </c>
      <c r="AZ2">
        <f t="array" ref="AZ2:BB6">LINEST(AN2:AN12,AO2:AP12,0,1)</f>
        <v>0.71866319552153768</v>
      </c>
      <c r="BA2">
        <v>6.0553072116043626E-2</v>
      </c>
      <c r="BB2">
        <v>0</v>
      </c>
      <c r="BD2">
        <v>1998</v>
      </c>
      <c r="BE2" s="8">
        <f>AN2</f>
        <v>30000</v>
      </c>
      <c r="BF2" s="8">
        <f>($BA$2*AO2)+($AZ$2*AP2)</f>
        <v>32365.048645055685</v>
      </c>
      <c r="BG2" s="8">
        <f>($AW$2*AO2)+($AV$2*AP2)</f>
        <v>25254.223954996909</v>
      </c>
      <c r="BU2" s="49" t="s">
        <v>271</v>
      </c>
      <c r="BV2" s="49" t="s">
        <v>309</v>
      </c>
      <c r="BW2" s="49" t="s">
        <v>362</v>
      </c>
      <c r="BX2" s="49" t="s">
        <v>333</v>
      </c>
      <c r="BY2" s="49" t="s">
        <v>333</v>
      </c>
      <c r="CA2" s="58">
        <v>36465</v>
      </c>
      <c r="CB2" s="59">
        <f>BY25</f>
        <v>48433.528095245361</v>
      </c>
      <c r="CC2" s="59">
        <f t="shared" ref="CC2" si="0">BZ25</f>
        <v>5939.1017379760706</v>
      </c>
      <c r="CD2">
        <v>1</v>
      </c>
      <c r="CE2" s="8">
        <v>8833.3333333333339</v>
      </c>
      <c r="CF2" s="8">
        <f>CS37</f>
        <v>242.80966484236325</v>
      </c>
      <c r="CG2" s="8">
        <f>IF(CF2&lt;CE2,CE2-CF2,0)</f>
        <v>8590.5236684909705</v>
      </c>
      <c r="CH2" s="58"/>
      <c r="CI2" s="8"/>
      <c r="CJ2" s="8"/>
      <c r="CN2">
        <v>1999</v>
      </c>
      <c r="CO2" s="11">
        <v>43.287058751723343</v>
      </c>
      <c r="CP2" s="11">
        <v>29.135294151306152</v>
      </c>
      <c r="CQ2" s="11">
        <v>66.418823287066289</v>
      </c>
      <c r="CR2" s="11">
        <v>33.240000074050009</v>
      </c>
      <c r="CS2" s="11">
        <v>4.6011764806859636</v>
      </c>
      <c r="CT2" s="11">
        <v>25.871764777688419</v>
      </c>
      <c r="CU2" s="11">
        <v>49.096470462574679</v>
      </c>
      <c r="CV2" s="11">
        <v>38.811764885397515</v>
      </c>
      <c r="CW2" s="11">
        <v>20.687058830261229</v>
      </c>
      <c r="CX2" s="11">
        <v>71.769411558263442</v>
      </c>
      <c r="CY2" s="11">
        <v>59.651764409682329</v>
      </c>
      <c r="CZ2" s="11">
        <v>93.497647184484151</v>
      </c>
      <c r="DA2" s="11">
        <v>536.06823485318341</v>
      </c>
      <c r="DB2" s="11">
        <f>CY2+CZ2+CO3+CP3+CQ3</f>
        <v>335.24352914024803</v>
      </c>
      <c r="DH2" s="38">
        <v>1999</v>
      </c>
      <c r="DI2" s="11">
        <v>38.638835018120922</v>
      </c>
      <c r="DJ2" s="11">
        <v>15.113592258934835</v>
      </c>
      <c r="DK2" s="11">
        <v>72.624272022432493</v>
      </c>
      <c r="DL2" s="11">
        <v>41.086407541071324</v>
      </c>
      <c r="DM2" s="11">
        <v>5.6233009690219919</v>
      </c>
      <c r="DN2" s="11">
        <v>31.112621455516631</v>
      </c>
      <c r="DO2" s="11">
        <v>51.750485540593715</v>
      </c>
      <c r="DP2" s="11">
        <v>42.784466012010299</v>
      </c>
      <c r="DQ2" s="11">
        <v>25.312621385148429</v>
      </c>
      <c r="DR2" s="11">
        <v>83.657281079338588</v>
      </c>
      <c r="DS2" s="11">
        <v>64.397087430491027</v>
      </c>
      <c r="DT2" s="11">
        <v>75.940776491628114</v>
      </c>
      <c r="DU2" s="11">
        <v>548.04174720430831</v>
      </c>
      <c r="DV2" s="11">
        <f>DS2+DT2+DI3+DJ3+DK3</f>
        <v>309.98058227427953</v>
      </c>
      <c r="DW2" s="56">
        <v>35796</v>
      </c>
      <c r="DX2">
        <v>16568.682364463803</v>
      </c>
      <c r="DY2">
        <v>0</v>
      </c>
      <c r="DZ2" s="8">
        <v>358.25793075561495</v>
      </c>
      <c r="EF2" t="s">
        <v>43</v>
      </c>
      <c r="EG2" t="s">
        <v>362</v>
      </c>
      <c r="EH2" t="s">
        <v>271</v>
      </c>
      <c r="EI2" t="s">
        <v>272</v>
      </c>
      <c r="EK2" t="s">
        <v>43</v>
      </c>
      <c r="EL2" t="s">
        <v>407</v>
      </c>
      <c r="EM2" t="s">
        <v>366</v>
      </c>
      <c r="EN2" t="s">
        <v>472</v>
      </c>
      <c r="EO2" t="s">
        <v>473</v>
      </c>
      <c r="EP2" t="s">
        <v>474</v>
      </c>
      <c r="ER2" t="s">
        <v>43</v>
      </c>
      <c r="ES2" t="s">
        <v>474</v>
      </c>
      <c r="ET2" t="s">
        <v>475</v>
      </c>
      <c r="FE2" s="56">
        <v>35796</v>
      </c>
      <c r="FF2" s="8" t="e">
        <f>DX2+#REF!+#REF!</f>
        <v>#REF!</v>
      </c>
      <c r="FG2" s="8" t="e">
        <f>#REF!+DY2+#REF!</f>
        <v>#REF!</v>
      </c>
      <c r="FH2" s="8">
        <f>DZ2</f>
        <v>358.25793075561495</v>
      </c>
    </row>
    <row r="3" spans="1:167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O3" s="2" t="s">
        <v>131</v>
      </c>
      <c r="P3" s="2" t="s">
        <v>476</v>
      </c>
      <c r="Q3" s="2" t="s">
        <v>291</v>
      </c>
      <c r="AB3">
        <v>1998</v>
      </c>
      <c r="AC3">
        <v>7</v>
      </c>
      <c r="AD3" s="8">
        <v>99.066807121038437</v>
      </c>
      <c r="AE3" s="8">
        <v>22976.222334176291</v>
      </c>
      <c r="AF3" s="8">
        <v>0</v>
      </c>
      <c r="AG3" s="11">
        <v>36.225999999999999</v>
      </c>
      <c r="AM3" t="s">
        <v>105</v>
      </c>
      <c r="AN3" s="8">
        <v>30416.666666666668</v>
      </c>
      <c r="AO3" s="11">
        <f>AH23</f>
        <v>121725.3831654005</v>
      </c>
      <c r="AP3" s="11">
        <f>AI23</f>
        <v>23855.527545690544</v>
      </c>
      <c r="AQ3" s="11"/>
      <c r="AR3" s="11">
        <f>AI18</f>
        <v>0</v>
      </c>
      <c r="AS3" s="11">
        <f>AH17</f>
        <v>0</v>
      </c>
      <c r="AT3" s="11">
        <f>AI17</f>
        <v>0</v>
      </c>
      <c r="AV3">
        <v>0.29402035808451971</v>
      </c>
      <c r="AW3">
        <v>3.0108918069672641E-2</v>
      </c>
      <c r="AX3" t="e">
        <v>#N/A</v>
      </c>
      <c r="AZ3">
        <v>0.35153420583269568</v>
      </c>
      <c r="BA3">
        <v>3.3937073474046446E-2</v>
      </c>
      <c r="BB3" t="e">
        <v>#N/A</v>
      </c>
      <c r="BD3">
        <v>1999</v>
      </c>
      <c r="BE3" s="8">
        <f t="shared" ref="BE3:BE16" si="1">AN3</f>
        <v>30416.666666666668</v>
      </c>
      <c r="BF3" s="8">
        <f t="shared" ref="BF3:BF16" si="2">($BA$2*AO3)+($AZ$2*AP3)</f>
        <v>24514.935562005568</v>
      </c>
      <c r="BG3" s="8">
        <f t="shared" ref="BG3:BG16" si="3">($AW$2*AO3)+($AV$2*AP3)</f>
        <v>17699.716031998898</v>
      </c>
      <c r="BT3" s="56">
        <v>35796</v>
      </c>
      <c r="BU3" s="8">
        <v>20298.765861511201</v>
      </c>
      <c r="BV3" s="8">
        <v>28.687933921814</v>
      </c>
      <c r="BW3" s="8">
        <v>0</v>
      </c>
      <c r="CA3" s="58">
        <v>36831</v>
      </c>
      <c r="CB3" s="59">
        <f>BY37</f>
        <v>99442.258068084571</v>
      </c>
      <c r="CC3" s="59">
        <f t="shared" ref="CC3" si="4">BZ37</f>
        <v>22290.970110893242</v>
      </c>
      <c r="CD3">
        <v>1</v>
      </c>
      <c r="CE3" s="8">
        <v>9333.3333333333339</v>
      </c>
      <c r="CF3" s="8">
        <f>CS38</f>
        <v>227.69893993425333</v>
      </c>
      <c r="CG3" s="8">
        <f t="shared" ref="CG3:CG15" si="5">IF(CF3&lt;CE3,CE3-CF3,0)</f>
        <v>9105.6343933990811</v>
      </c>
      <c r="CH3" s="58"/>
      <c r="CI3" s="8" t="s">
        <v>272</v>
      </c>
      <c r="CJ3" s="8" t="s">
        <v>271</v>
      </c>
      <c r="CN3">
        <v>2000</v>
      </c>
      <c r="CO3" s="11">
        <v>19.283529483570771</v>
      </c>
      <c r="CP3" s="11">
        <v>25.68235284019919</v>
      </c>
      <c r="CQ3" s="11">
        <v>137.12823522231159</v>
      </c>
      <c r="CR3" s="11">
        <v>87.628235401826743</v>
      </c>
      <c r="CS3" s="11">
        <v>73.65294122134938</v>
      </c>
      <c r="CT3" s="11">
        <v>16.940000085269702</v>
      </c>
      <c r="CU3" s="11">
        <v>19.870588224074421</v>
      </c>
      <c r="CV3" s="11">
        <v>25.872941118128161</v>
      </c>
      <c r="CW3" s="11">
        <v>6.7694117714377011</v>
      </c>
      <c r="CX3" s="11">
        <v>65.921176730885222</v>
      </c>
      <c r="CY3" s="11">
        <v>128.14352964513441</v>
      </c>
      <c r="CZ3" s="11">
        <v>17.875294079500087</v>
      </c>
      <c r="DA3" s="11">
        <v>624.76823582368752</v>
      </c>
      <c r="DB3" s="11">
        <f t="shared" ref="DB3:DB17" si="6">CY3+CZ3+CO4+CP4+CQ4</f>
        <v>280.58117685878977</v>
      </c>
      <c r="DH3" s="38">
        <v>2000</v>
      </c>
      <c r="DI3" s="11">
        <v>18.809708789714332</v>
      </c>
      <c r="DJ3" s="11">
        <v>19.508737851115107</v>
      </c>
      <c r="DK3" s="11">
        <v>131.32427171133097</v>
      </c>
      <c r="DL3" s="11">
        <v>70.76504831406676</v>
      </c>
      <c r="DM3" s="11">
        <v>75.321359208486612</v>
      </c>
      <c r="DN3" s="11">
        <v>21.986407724399012</v>
      </c>
      <c r="DO3" s="11">
        <v>22.335922278246834</v>
      </c>
      <c r="DP3" s="11">
        <v>29.984465886088252</v>
      </c>
      <c r="DQ3" s="11">
        <v>12.925242711039422</v>
      </c>
      <c r="DR3" s="11">
        <v>67.001941384621034</v>
      </c>
      <c r="DS3" s="11">
        <v>142.94951459273551</v>
      </c>
      <c r="DT3" s="11">
        <v>19.052427097431664</v>
      </c>
      <c r="DU3" s="11">
        <v>631.96504754927537</v>
      </c>
      <c r="DV3" s="11">
        <f t="shared" ref="DV3:DV17" si="7">DS3+DT3+DI4+DJ4+DK4</f>
        <v>292.57961112087213</v>
      </c>
      <c r="DW3" s="56">
        <v>35827</v>
      </c>
      <c r="DX3">
        <v>9887.8215862512607</v>
      </c>
      <c r="DY3">
        <v>0</v>
      </c>
      <c r="DZ3" s="8">
        <v>0</v>
      </c>
      <c r="EF3" s="56">
        <f>EA24</f>
        <v>36465</v>
      </c>
      <c r="EG3" s="8">
        <f t="shared" ref="EG3" si="8">EB24</f>
        <v>3049.0292052030541</v>
      </c>
      <c r="EH3" s="8">
        <f t="shared" ref="EH3" si="9">EC24</f>
        <v>45031.684056267142</v>
      </c>
      <c r="EI3" s="8">
        <f t="shared" ref="EI3" si="10">ED24</f>
        <v>2281.8575906753545</v>
      </c>
      <c r="EK3" s="38">
        <v>1999</v>
      </c>
      <c r="EL3" s="8">
        <v>13250</v>
      </c>
      <c r="EM3" s="8">
        <f>DM41</f>
        <v>1758.1615994342142</v>
      </c>
      <c r="EN3" s="8">
        <f>IF(EL3&gt;EM3,EL3-EM3,0)</f>
        <v>11491.838400565786</v>
      </c>
      <c r="EO3" s="8">
        <f>EG3/DL41</f>
        <v>357.37907094276216</v>
      </c>
      <c r="EP3" s="8">
        <f>IF(EN3&gt;EO3,EN3-EO3,0)</f>
        <v>11134.459329623023</v>
      </c>
      <c r="ER3" s="38">
        <v>1999</v>
      </c>
      <c r="ES3" s="8">
        <f>EP3</f>
        <v>11134.459329623023</v>
      </c>
      <c r="ET3" s="8">
        <f>EH3+EI3</f>
        <v>47313.541646942496</v>
      </c>
      <c r="FE3" s="56">
        <v>35827</v>
      </c>
      <c r="FF3" s="8" t="e">
        <f>DX3+#REF!+#REF!</f>
        <v>#REF!</v>
      </c>
      <c r="FG3" s="8" t="e">
        <f>#REF!+DY3+#REF!</f>
        <v>#REF!</v>
      </c>
      <c r="FH3" s="8">
        <f t="shared" ref="FH3:FH66" si="11">DZ3</f>
        <v>0</v>
      </c>
    </row>
    <row r="4" spans="1:167" x14ac:dyDescent="0.25">
      <c r="A4" s="1">
        <v>1999</v>
      </c>
      <c r="B4" s="3">
        <v>61.357615805619602</v>
      </c>
      <c r="C4" s="3">
        <v>55.155960348268216</v>
      </c>
      <c r="D4" s="3">
        <v>62.977152382301178</v>
      </c>
      <c r="E4" s="3">
        <v>66.182781528952901</v>
      </c>
      <c r="F4" s="3">
        <v>13.711589368763349</v>
      </c>
      <c r="G4" s="3">
        <v>37.218542964253203</v>
      </c>
      <c r="H4" s="3">
        <v>36.008278082538126</v>
      </c>
      <c r="I4" s="3">
        <v>41.330463535738311</v>
      </c>
      <c r="J4" s="3">
        <v>20.021523131440016</v>
      </c>
      <c r="K4" s="3">
        <v>63.040066384321804</v>
      </c>
      <c r="L4" s="3">
        <v>59.116887528375287</v>
      </c>
      <c r="M4" s="3">
        <v>145.38708619881939</v>
      </c>
      <c r="O4" s="20">
        <f>SUM(F4:K4)/100</f>
        <v>2.113304634670548</v>
      </c>
      <c r="P4" s="11">
        <f>K4+L4+M4+B5+C5</f>
        <v>320.6294706673022</v>
      </c>
      <c r="Q4" s="11">
        <f t="shared" ref="Q4:Q18" si="12">P4-200</f>
        <v>120.6294706673022</v>
      </c>
      <c r="AB4">
        <v>1998</v>
      </c>
      <c r="AC4">
        <v>8</v>
      </c>
      <c r="AD4" s="8">
        <v>17.979029059410095</v>
      </c>
      <c r="AE4" s="8">
        <v>28.4921875</v>
      </c>
      <c r="AF4" s="8">
        <v>0</v>
      </c>
      <c r="AG4" s="11">
        <v>72.225999999999999</v>
      </c>
      <c r="AM4" t="s">
        <v>106</v>
      </c>
      <c r="AN4" s="8">
        <v>32166.666666666668</v>
      </c>
      <c r="AO4" s="11">
        <f>AH35</f>
        <v>229850.92382268608</v>
      </c>
      <c r="AP4" s="11">
        <f>AI35</f>
        <v>24783.108774662032</v>
      </c>
      <c r="AQ4" s="11">
        <f>Q4</f>
        <v>120.6294706673022</v>
      </c>
      <c r="AR4" s="11">
        <f>AI30</f>
        <v>0</v>
      </c>
      <c r="AS4" s="11">
        <f>AH29</f>
        <v>0</v>
      </c>
      <c r="AT4" s="11">
        <f>AI29</f>
        <v>0</v>
      </c>
      <c r="AV4">
        <v>0.75391062195453273</v>
      </c>
      <c r="AW4">
        <v>9975.2282392725374</v>
      </c>
      <c r="AX4" t="e">
        <v>#N/A</v>
      </c>
      <c r="AZ4">
        <v>0.82897252397276988</v>
      </c>
      <c r="BA4">
        <v>8997.1632594626626</v>
      </c>
      <c r="BB4" t="e">
        <v>#N/A</v>
      </c>
      <c r="BD4">
        <v>2000</v>
      </c>
      <c r="BE4" s="8">
        <f t="shared" si="1"/>
        <v>32166.666666666668</v>
      </c>
      <c r="BF4" s="8">
        <f t="shared" si="2"/>
        <v>31728.887713130836</v>
      </c>
      <c r="BG4" s="8">
        <f t="shared" si="3"/>
        <v>24899.987322332716</v>
      </c>
      <c r="BT4" s="56">
        <v>35827</v>
      </c>
      <c r="BU4" s="8">
        <v>15417.544981002809</v>
      </c>
      <c r="BV4" s="8">
        <v>0</v>
      </c>
      <c r="BW4" s="8">
        <v>0</v>
      </c>
      <c r="CA4" s="58">
        <v>37196</v>
      </c>
      <c r="CB4" s="59">
        <f>BY49</f>
        <v>82716.697093486728</v>
      </c>
      <c r="CC4" s="59">
        <f t="shared" ref="CC4" si="13">BZ49</f>
        <v>6322.0227661132831</v>
      </c>
      <c r="CD4">
        <v>1</v>
      </c>
      <c r="CE4" s="8">
        <v>8833.3333333333339</v>
      </c>
      <c r="CF4" s="8">
        <f>CS39</f>
        <v>403.03795763835581</v>
      </c>
      <c r="CG4" s="8">
        <f t="shared" si="5"/>
        <v>8430.2953756949773</v>
      </c>
      <c r="CH4" s="58"/>
      <c r="CI4" s="70">
        <f t="array" ref="CI4:CJ8">LINEST(CG2:CG12,CB2:CC12,0,1)</f>
        <v>0.23294333388485289</v>
      </c>
      <c r="CJ4" s="70">
        <v>3.4900495650205213E-2</v>
      </c>
      <c r="CN4">
        <v>2001</v>
      </c>
      <c r="CO4" s="11">
        <v>35.742352878346161</v>
      </c>
      <c r="CP4" s="11">
        <v>26.431764602661133</v>
      </c>
      <c r="CQ4" s="11">
        <v>72.388235653147973</v>
      </c>
      <c r="CR4" s="11">
        <v>36.283529416252584</v>
      </c>
      <c r="CS4" s="11">
        <v>31.202352995031021</v>
      </c>
      <c r="CT4" s="11">
        <v>55.84823523128734</v>
      </c>
      <c r="CU4" s="11">
        <v>64.337646933162915</v>
      </c>
      <c r="CV4" s="11">
        <v>10.254117617887609</v>
      </c>
      <c r="CW4" s="11">
        <v>26.537647090238682</v>
      </c>
      <c r="CX4" s="11">
        <v>36.26588242474724</v>
      </c>
      <c r="CY4" s="11">
        <v>24.641176515467027</v>
      </c>
      <c r="CZ4" s="11">
        <v>20.716470583747416</v>
      </c>
      <c r="DA4" s="11">
        <v>440.64941194197712</v>
      </c>
      <c r="DB4" s="11">
        <f t="shared" si="6"/>
        <v>290.52941115884215</v>
      </c>
      <c r="DH4" s="38">
        <v>2001</v>
      </c>
      <c r="DI4" s="11">
        <v>33.556310699981395</v>
      </c>
      <c r="DJ4" s="11">
        <v>26.266990235708292</v>
      </c>
      <c r="DK4" s="11">
        <v>70.754368495015271</v>
      </c>
      <c r="DL4" s="11">
        <v>45.25728144229037</v>
      </c>
      <c r="DM4" s="11">
        <v>40.355339679903196</v>
      </c>
      <c r="DN4" s="11">
        <v>57.812621366630481</v>
      </c>
      <c r="DO4" s="11">
        <v>76.591262002593112</v>
      </c>
      <c r="DP4" s="11">
        <v>13.620388355069947</v>
      </c>
      <c r="DQ4" s="11">
        <v>30.648543811538843</v>
      </c>
      <c r="DR4" s="11">
        <v>41.400000118514868</v>
      </c>
      <c r="DS4" s="11">
        <v>30.663106770191376</v>
      </c>
      <c r="DT4" s="11">
        <v>22.223300989391735</v>
      </c>
      <c r="DU4" s="11">
        <v>489.14951396682898</v>
      </c>
      <c r="DV4" s="11">
        <f t="shared" si="7"/>
        <v>286.34271832808707</v>
      </c>
      <c r="DW4" s="56">
        <v>35855</v>
      </c>
      <c r="DX4">
        <v>796.31687283515964</v>
      </c>
      <c r="DY4">
        <v>0</v>
      </c>
      <c r="DZ4" s="8">
        <v>0</v>
      </c>
      <c r="EF4" s="56">
        <f>EA36</f>
        <v>36831</v>
      </c>
      <c r="EG4" s="8">
        <f t="shared" ref="EG4" si="14">EB36</f>
        <v>3376.7401484847051</v>
      </c>
      <c r="EH4" s="8">
        <f t="shared" ref="EH4" si="15">EC36</f>
        <v>102891.15013855686</v>
      </c>
      <c r="EI4" s="8">
        <f t="shared" ref="EI4" si="16">ED36</f>
        <v>204.60185533761978</v>
      </c>
      <c r="EK4" s="38">
        <v>2000</v>
      </c>
      <c r="EL4" s="8">
        <v>14000</v>
      </c>
      <c r="EM4" s="8">
        <f>DM42</f>
        <v>1723.0192218486845</v>
      </c>
      <c r="EN4" s="8">
        <f t="shared" ref="EN4:EN16" si="17">IF(EL4&gt;EM4,EL4-EM4,0)</f>
        <v>12276.980778151315</v>
      </c>
      <c r="EO4" s="8">
        <f>EG4/DL42</f>
        <v>387.87921220182187</v>
      </c>
      <c r="EP4" s="8">
        <f t="shared" ref="EP4:EP16" si="18">IF(EN4&gt;EO4,EN4-EO4,0)</f>
        <v>11889.101565949493</v>
      </c>
      <c r="ER4" s="38">
        <v>2000</v>
      </c>
      <c r="ES4" s="8">
        <f t="shared" ref="ES4:ES16" si="19">EP4</f>
        <v>11889.101565949493</v>
      </c>
      <c r="ET4" s="8">
        <f t="shared" ref="ET4:ET16" si="20">EH4+EI4</f>
        <v>103095.75199389448</v>
      </c>
      <c r="FE4" s="56">
        <v>35855</v>
      </c>
      <c r="FF4" s="8" t="e">
        <f>DX4+#REF!+#REF!</f>
        <v>#REF!</v>
      </c>
      <c r="FG4" s="8" t="e">
        <f>#REF!+DY4+#REF!</f>
        <v>#REF!</v>
      </c>
      <c r="FH4" s="8">
        <f t="shared" si="11"/>
        <v>0</v>
      </c>
    </row>
    <row r="5" spans="1:167" x14ac:dyDescent="0.25">
      <c r="A5" s="1">
        <v>2000</v>
      </c>
      <c r="B5" s="3">
        <v>30.935099380695267</v>
      </c>
      <c r="C5" s="3">
        <v>22.150331175090461</v>
      </c>
      <c r="D5" s="3">
        <v>147.28907245358096</v>
      </c>
      <c r="E5" s="3">
        <v>77.089072656947252</v>
      </c>
      <c r="F5" s="3">
        <v>77.448013356189861</v>
      </c>
      <c r="G5" s="3">
        <v>18.657615939512947</v>
      </c>
      <c r="H5" s="3">
        <v>21.642053000974339</v>
      </c>
      <c r="I5" s="3">
        <v>19.99801328166431</v>
      </c>
      <c r="J5" s="3">
        <v>4.3384105898686594</v>
      </c>
      <c r="K5" s="3">
        <v>69.640728502084087</v>
      </c>
      <c r="L5" s="3">
        <v>154.29735080137948</v>
      </c>
      <c r="M5" s="3">
        <v>20.77417220658814</v>
      </c>
      <c r="O5" s="20">
        <f t="shared" ref="O5:O18" si="21">SUM(F5:K5)/100</f>
        <v>2.1172483467029424</v>
      </c>
      <c r="P5" s="11">
        <f t="shared" ref="P5:P18" si="22">K5+L5+M5+B6+C6</f>
        <v>290.33940389298442</v>
      </c>
      <c r="Q5" s="11">
        <f t="shared" si="12"/>
        <v>90.339403892984421</v>
      </c>
      <c r="AB5">
        <v>1998</v>
      </c>
      <c r="AC5">
        <v>9</v>
      </c>
      <c r="AD5" s="8">
        <v>0</v>
      </c>
      <c r="AE5" s="8">
        <v>0</v>
      </c>
      <c r="AF5" s="8">
        <v>0</v>
      </c>
      <c r="AG5" s="11">
        <v>101.81</v>
      </c>
      <c r="AM5" t="s">
        <v>107</v>
      </c>
      <c r="AN5" s="8">
        <v>30416.666666666668</v>
      </c>
      <c r="AO5" s="11">
        <f>AH47</f>
        <v>163813.50927376002</v>
      </c>
      <c r="AP5" s="11">
        <f>AI47</f>
        <v>5047.6853840351096</v>
      </c>
      <c r="AQ5" s="11">
        <f t="shared" ref="AQ5:AQ16" si="23">Q5</f>
        <v>90.339403892984421</v>
      </c>
      <c r="AR5" s="11">
        <f>AI42</f>
        <v>0</v>
      </c>
      <c r="AS5" s="11">
        <f>AH41</f>
        <v>0</v>
      </c>
      <c r="AT5" s="11">
        <f>AI41</f>
        <v>0</v>
      </c>
      <c r="AV5">
        <v>19.913167653254288</v>
      </c>
      <c r="AW5">
        <v>13</v>
      </c>
      <c r="AX5" t="e">
        <v>#N/A</v>
      </c>
      <c r="AZ5">
        <v>21.811561770832277</v>
      </c>
      <c r="BA5">
        <v>9</v>
      </c>
      <c r="BB5" t="e">
        <v>#N/A</v>
      </c>
      <c r="BD5">
        <v>2001</v>
      </c>
      <c r="BE5" s="8">
        <f t="shared" si="1"/>
        <v>30416.666666666668</v>
      </c>
      <c r="BF5" s="8">
        <f t="shared" si="2"/>
        <v>13546.996948714203</v>
      </c>
      <c r="BG5" s="8">
        <f t="shared" si="3"/>
        <v>12440.514833438789</v>
      </c>
      <c r="BT5" s="56">
        <v>35855</v>
      </c>
      <c r="BU5" s="8">
        <v>13634.427889823914</v>
      </c>
      <c r="BV5" s="8">
        <v>0</v>
      </c>
      <c r="BW5" s="8">
        <v>0</v>
      </c>
      <c r="CA5" s="58">
        <v>37561</v>
      </c>
      <c r="CB5" s="59">
        <f>BY61</f>
        <v>45849.417540311806</v>
      </c>
      <c r="CC5" s="59">
        <f t="shared" ref="CC5" si="24">BZ61</f>
        <v>2118.2512130737309</v>
      </c>
      <c r="CD5">
        <v>1</v>
      </c>
      <c r="CE5" s="8">
        <v>6302.7</v>
      </c>
      <c r="CF5" s="8">
        <f>CS40</f>
        <v>494.92620581895977</v>
      </c>
      <c r="CG5" s="8">
        <f t="shared" si="5"/>
        <v>5807.7737941810401</v>
      </c>
      <c r="CH5" s="58"/>
      <c r="CI5" s="70">
        <v>0.19689465306946649</v>
      </c>
      <c r="CJ5" s="70">
        <v>2.6053032333758677E-2</v>
      </c>
      <c r="CN5">
        <v>2002</v>
      </c>
      <c r="CO5" s="11">
        <v>59.43999990575454</v>
      </c>
      <c r="CP5" s="11">
        <v>155.38470548741958</v>
      </c>
      <c r="CQ5" s="11">
        <v>30.347058666453641</v>
      </c>
      <c r="CR5" s="11">
        <v>16.018823500240551</v>
      </c>
      <c r="CS5" s="11">
        <v>15.596470597211052</v>
      </c>
      <c r="CT5" s="11">
        <v>8.8658823462093572</v>
      </c>
      <c r="CU5" s="11">
        <v>1.6352941176470588</v>
      </c>
      <c r="CV5" s="11">
        <v>2.3294117647058825</v>
      </c>
      <c r="CW5" s="11">
        <v>38.776470588235291</v>
      </c>
      <c r="CX5" s="11">
        <v>5.0235294117647058</v>
      </c>
      <c r="CY5" s="11">
        <v>2</v>
      </c>
      <c r="CZ5" s="11">
        <v>18.741176470588236</v>
      </c>
      <c r="DA5" s="11">
        <v>354.15882285622985</v>
      </c>
      <c r="DB5" s="11">
        <f t="shared" si="6"/>
        <v>148.68235294117648</v>
      </c>
      <c r="DH5" s="38">
        <v>2002</v>
      </c>
      <c r="DI5" s="11">
        <v>63.598058200576929</v>
      </c>
      <c r="DJ5" s="11">
        <v>146.52815528054839</v>
      </c>
      <c r="DK5" s="11">
        <v>23.33009708737864</v>
      </c>
      <c r="DL5" s="11">
        <v>21.147572822941161</v>
      </c>
      <c r="DM5" s="11">
        <v>22.620388392105845</v>
      </c>
      <c r="DN5" s="11">
        <v>11.927184493796339</v>
      </c>
      <c r="DO5" s="11">
        <v>5.592233009708738</v>
      </c>
      <c r="DP5" s="11">
        <v>4.233009708737864</v>
      </c>
      <c r="DQ5" s="11">
        <v>37.854368932038838</v>
      </c>
      <c r="DR5" s="11">
        <v>1.6601941747572815</v>
      </c>
      <c r="DS5" s="11">
        <v>1.5048543689320388</v>
      </c>
      <c r="DT5" s="11">
        <v>22.349514563106798</v>
      </c>
      <c r="DU5" s="11">
        <v>362.34563103462898</v>
      </c>
      <c r="DV5" s="11">
        <f t="shared" si="7"/>
        <v>168.09708737864077</v>
      </c>
      <c r="DW5" s="56">
        <v>35886</v>
      </c>
      <c r="DX5">
        <v>315.43040370941111</v>
      </c>
      <c r="DY5">
        <v>0</v>
      </c>
      <c r="DZ5" s="8">
        <v>0</v>
      </c>
      <c r="EF5" s="56">
        <f>EA48</f>
        <v>37196</v>
      </c>
      <c r="EG5" s="8">
        <f t="shared" ref="EG5" si="25">EB48</f>
        <v>3049.0336759090401</v>
      </c>
      <c r="EH5" s="8">
        <f t="shared" ref="EH5" si="26">EC48</f>
        <v>52205.84387549758</v>
      </c>
      <c r="EI5" s="8">
        <f t="shared" ref="EI5" si="27">ED48</f>
        <v>703.77047729492199</v>
      </c>
      <c r="EK5" s="38">
        <v>2001</v>
      </c>
      <c r="EL5" s="8">
        <v>13250</v>
      </c>
      <c r="EM5" s="8">
        <f>DM43</f>
        <v>2851.271649028401</v>
      </c>
      <c r="EN5" s="8">
        <f t="shared" si="17"/>
        <v>10398.7283509716</v>
      </c>
      <c r="EO5" s="8">
        <f>EG5/DL43</f>
        <v>347.74493108209185</v>
      </c>
      <c r="EP5" s="8">
        <f t="shared" si="18"/>
        <v>10050.983419889508</v>
      </c>
      <c r="ER5" s="38">
        <v>2001</v>
      </c>
      <c r="ES5" s="8">
        <f t="shared" si="19"/>
        <v>10050.983419889508</v>
      </c>
      <c r="ET5" s="8">
        <f t="shared" si="20"/>
        <v>52909.614352792501</v>
      </c>
      <c r="FE5" s="56">
        <v>35886</v>
      </c>
      <c r="FF5" s="8" t="e">
        <f>DX5+#REF!+#REF!</f>
        <v>#REF!</v>
      </c>
      <c r="FG5" s="8" t="e">
        <f>#REF!+DY5+#REF!</f>
        <v>#REF!</v>
      </c>
      <c r="FH5" s="8">
        <f t="shared" si="11"/>
        <v>0</v>
      </c>
    </row>
    <row r="6" spans="1:167" x14ac:dyDescent="0.25">
      <c r="A6" s="1">
        <v>2001</v>
      </c>
      <c r="B6" s="3">
        <v>25.707947061551327</v>
      </c>
      <c r="C6" s="3">
        <v>19.919205321381423</v>
      </c>
      <c r="D6" s="3">
        <v>47.320860906942002</v>
      </c>
      <c r="E6" s="3">
        <v>22.560927143160082</v>
      </c>
      <c r="F6" s="3">
        <v>15.665562917065147</v>
      </c>
      <c r="G6" s="3">
        <v>57.154304580183222</v>
      </c>
      <c r="H6" s="3">
        <v>52.297350940325401</v>
      </c>
      <c r="I6" s="3">
        <v>6.3711920479275532</v>
      </c>
      <c r="J6" s="3">
        <v>15.531125801288528</v>
      </c>
      <c r="K6" s="3">
        <v>31.912582757457201</v>
      </c>
      <c r="L6" s="3">
        <v>29.704635721168771</v>
      </c>
      <c r="M6" s="3">
        <v>23.944701911597853</v>
      </c>
      <c r="O6" s="20">
        <f t="shared" si="21"/>
        <v>1.7893211904424708</v>
      </c>
      <c r="P6" s="11">
        <f t="shared" si="22"/>
        <v>189.70596006946846</v>
      </c>
      <c r="Q6" s="11">
        <f t="shared" si="12"/>
        <v>-10.29403993053154</v>
      </c>
      <c r="AB6">
        <v>1998</v>
      </c>
      <c r="AC6">
        <v>10</v>
      </c>
      <c r="AD6" s="8">
        <v>0</v>
      </c>
      <c r="AE6" s="8">
        <v>0</v>
      </c>
      <c r="AF6" s="8">
        <v>0</v>
      </c>
      <c r="AG6" s="11">
        <v>101.81</v>
      </c>
      <c r="AH6" t="s">
        <v>284</v>
      </c>
      <c r="AI6" t="s">
        <v>285</v>
      </c>
      <c r="AM6" t="s">
        <v>108</v>
      </c>
      <c r="AN6" s="8">
        <v>16965.599999999999</v>
      </c>
      <c r="AO6" s="11">
        <f>AH59</f>
        <v>31075.124840290286</v>
      </c>
      <c r="AP6" s="11">
        <f>AI59</f>
        <v>225.9688455760479</v>
      </c>
      <c r="AQ6" s="11">
        <f t="shared" si="23"/>
        <v>-10.29403993053154</v>
      </c>
      <c r="AR6" s="11">
        <f>AI54</f>
        <v>0</v>
      </c>
      <c r="AS6" s="11">
        <f>AH53</f>
        <v>0</v>
      </c>
      <c r="AT6" s="11">
        <f>AI53</f>
        <v>0</v>
      </c>
      <c r="AV6">
        <v>3962926600.711123</v>
      </c>
      <c r="AW6">
        <v>1293567319.5325437</v>
      </c>
      <c r="AX6" t="e">
        <v>#N/A</v>
      </c>
      <c r="AZ6">
        <v>3531245903.2218437</v>
      </c>
      <c r="BA6">
        <v>728540520.45682323</v>
      </c>
      <c r="BB6" t="e">
        <v>#N/A</v>
      </c>
      <c r="BD6">
        <v>2002</v>
      </c>
      <c r="BE6" s="8">
        <f t="shared" si="1"/>
        <v>16965.599999999999</v>
      </c>
      <c r="BF6" s="8">
        <f t="shared" si="2"/>
        <v>2044.0897681191518</v>
      </c>
      <c r="BG6" s="8">
        <f t="shared" si="3"/>
        <v>2052.2653380311745</v>
      </c>
      <c r="BT6" s="56">
        <v>35886</v>
      </c>
      <c r="BU6" s="8">
        <v>2353.8198699951172</v>
      </c>
      <c r="BV6" s="8">
        <v>0</v>
      </c>
      <c r="BW6" s="8">
        <v>0</v>
      </c>
      <c r="CA6" s="58">
        <v>37926</v>
      </c>
      <c r="CB6" s="59">
        <f>BY73</f>
        <v>43449.852232217781</v>
      </c>
      <c r="CC6" s="59">
        <f t="shared" ref="CC6" si="28">BZ73</f>
        <v>7186.8127079010064</v>
      </c>
      <c r="CD6">
        <v>0</v>
      </c>
      <c r="CE6" s="8">
        <v>3573.64</v>
      </c>
      <c r="CF6" s="8">
        <f t="shared" ref="CF6:CF15" si="29">CS24</f>
        <v>530.38923670605652</v>
      </c>
      <c r="CG6" s="8">
        <f t="shared" si="5"/>
        <v>3043.2507632939432</v>
      </c>
      <c r="CH6" s="58"/>
      <c r="CI6" s="70">
        <v>0.64992708881497863</v>
      </c>
      <c r="CJ6" s="8">
        <v>3285.7333639187882</v>
      </c>
      <c r="CN6">
        <v>2003</v>
      </c>
      <c r="CO6" s="11">
        <v>35.411764705882355</v>
      </c>
      <c r="CP6" s="11">
        <v>76.564705882352939</v>
      </c>
      <c r="CQ6" s="11">
        <v>15.964705882352941</v>
      </c>
      <c r="CR6" s="11">
        <v>77.976470588235287</v>
      </c>
      <c r="CS6" s="11">
        <v>6.6235294117647054</v>
      </c>
      <c r="CT6" s="11">
        <v>60.44705882352941</v>
      </c>
      <c r="CU6" s="11">
        <v>34.085882366404817</v>
      </c>
      <c r="CV6" s="11">
        <v>90.623529232249538</v>
      </c>
      <c r="CW6" s="11">
        <v>3.334117663607878</v>
      </c>
      <c r="CX6" s="11">
        <v>40.561176524442786</v>
      </c>
      <c r="CY6" s="11">
        <v>27.23176481583539</v>
      </c>
      <c r="CZ6" s="11">
        <v>44.083529281616208</v>
      </c>
      <c r="DA6" s="11">
        <v>512.90823517827425</v>
      </c>
      <c r="DB6" s="11">
        <f t="shared" si="6"/>
        <v>164.26823543099795</v>
      </c>
      <c r="DH6" s="38">
        <v>2003</v>
      </c>
      <c r="DI6" s="11">
        <v>40.194174757281552</v>
      </c>
      <c r="DJ6" s="11">
        <v>83.22330097087378</v>
      </c>
      <c r="DK6" s="11">
        <v>20.825242718446603</v>
      </c>
      <c r="DL6" s="11">
        <v>69.922330097087382</v>
      </c>
      <c r="DM6" s="11">
        <v>4.5631067961165046</v>
      </c>
      <c r="DN6" s="11">
        <v>57.009708737864081</v>
      </c>
      <c r="DO6" s="11">
        <v>43.353397961959097</v>
      </c>
      <c r="DP6" s="11">
        <v>89.413592218195348</v>
      </c>
      <c r="DQ6" s="11">
        <v>3.755339828509729</v>
      </c>
      <c r="DR6" s="11">
        <v>38.422330171159167</v>
      </c>
      <c r="DS6" s="11">
        <v>30.630097120710946</v>
      </c>
      <c r="DT6" s="11">
        <v>33.569903012618276</v>
      </c>
      <c r="DU6" s="11">
        <v>514.88252439082237</v>
      </c>
      <c r="DV6" s="11">
        <f t="shared" si="7"/>
        <v>160.06601974339159</v>
      </c>
      <c r="DW6" s="56">
        <v>35916</v>
      </c>
      <c r="DX6">
        <v>0</v>
      </c>
      <c r="DY6">
        <v>0</v>
      </c>
      <c r="DZ6" s="8">
        <v>0</v>
      </c>
      <c r="EF6" s="56">
        <f>EA60</f>
        <v>37561</v>
      </c>
      <c r="EG6" s="8">
        <f t="shared" ref="EG6" si="30">EB60</f>
        <v>3049.0293053388582</v>
      </c>
      <c r="EH6" s="8">
        <f t="shared" ref="EH6" si="31">EC60</f>
        <v>20855.422476694006</v>
      </c>
      <c r="EI6" s="8">
        <f t="shared" ref="EI6" si="32">ED60</f>
        <v>0</v>
      </c>
      <c r="EK6" s="38">
        <v>2002</v>
      </c>
      <c r="EL6" s="8">
        <v>5934</v>
      </c>
      <c r="EM6" s="8">
        <f>DM44</f>
        <v>3517.420408279665</v>
      </c>
      <c r="EN6" s="8">
        <f t="shared" si="17"/>
        <v>2416.579591720335</v>
      </c>
      <c r="EO6" s="8">
        <f>EG6/DL44</f>
        <v>306.42051154404771</v>
      </c>
      <c r="EP6" s="8">
        <f t="shared" si="18"/>
        <v>2110.1590801762873</v>
      </c>
      <c r="ER6" s="38">
        <v>2002</v>
      </c>
      <c r="ES6" s="8">
        <f t="shared" si="19"/>
        <v>2110.1590801762873</v>
      </c>
      <c r="ET6" s="8">
        <f t="shared" si="20"/>
        <v>20855.422476694006</v>
      </c>
      <c r="FE6" s="56">
        <v>35916</v>
      </c>
      <c r="FF6" s="8" t="e">
        <f>DX6+#REF!+#REF!</f>
        <v>#REF!</v>
      </c>
      <c r="FG6" s="8" t="e">
        <f>#REF!+DY6+#REF!</f>
        <v>#REF!</v>
      </c>
      <c r="FH6" s="8">
        <f t="shared" si="11"/>
        <v>0</v>
      </c>
    </row>
    <row r="7" spans="1:167" x14ac:dyDescent="0.25">
      <c r="A7" s="1">
        <v>2002</v>
      </c>
      <c r="B7" s="3">
        <v>11.089735114219172</v>
      </c>
      <c r="C7" s="3">
        <v>93.054304565025475</v>
      </c>
      <c r="D7" s="3">
        <v>31.695695321291488</v>
      </c>
      <c r="E7" s="3">
        <v>12.990397349098661</v>
      </c>
      <c r="F7" s="3">
        <v>4.5357615947723389</v>
      </c>
      <c r="G7" s="3">
        <v>13.500000023683965</v>
      </c>
      <c r="H7" s="3">
        <v>8.9403973509933773E-2</v>
      </c>
      <c r="I7" s="3">
        <v>0.98344370860927155</v>
      </c>
      <c r="J7" s="3">
        <v>29.016556291390728</v>
      </c>
      <c r="K7" s="3">
        <v>3.6324503311258276</v>
      </c>
      <c r="L7" s="3">
        <v>2.814569536423841</v>
      </c>
      <c r="M7" s="3">
        <v>8.5927152317880786</v>
      </c>
      <c r="O7" s="20">
        <f t="shared" si="21"/>
        <v>0.5175761592309206</v>
      </c>
      <c r="P7" s="11">
        <f t="shared" si="22"/>
        <v>112.24503311258277</v>
      </c>
      <c r="Q7" s="11">
        <f t="shared" si="12"/>
        <v>-87.754966887417226</v>
      </c>
      <c r="AB7">
        <v>1998</v>
      </c>
      <c r="AC7">
        <v>11</v>
      </c>
      <c r="AD7" s="8">
        <v>3094.3237681984901</v>
      </c>
      <c r="AE7" s="8">
        <v>159.20611143112177</v>
      </c>
      <c r="AF7" s="8">
        <v>0</v>
      </c>
      <c r="AG7" s="11">
        <v>101.81</v>
      </c>
      <c r="AH7" s="11"/>
      <c r="AI7" s="11"/>
      <c r="AM7" t="s">
        <v>109</v>
      </c>
      <c r="AN7" s="8">
        <v>7827.11</v>
      </c>
      <c r="AO7" s="11">
        <f>AH71</f>
        <v>73533.116025285795</v>
      </c>
      <c r="AP7" s="11">
        <f>AI71</f>
        <v>10424.644615411766</v>
      </c>
      <c r="AQ7" s="11">
        <f t="shared" si="23"/>
        <v>-87.754966887417226</v>
      </c>
      <c r="AR7" s="11">
        <f>AI66</f>
        <v>0</v>
      </c>
      <c r="AS7" s="11">
        <f>AH65</f>
        <v>0</v>
      </c>
      <c r="AT7" s="11">
        <f>AI65</f>
        <v>0</v>
      </c>
      <c r="BD7">
        <v>2003</v>
      </c>
      <c r="BE7" s="8">
        <f t="shared" si="1"/>
        <v>7827.11</v>
      </c>
      <c r="BF7" s="8">
        <f t="shared" si="2"/>
        <v>11944.464489084745</v>
      </c>
      <c r="BG7" s="8">
        <f t="shared" si="3"/>
        <v>9015.7179531187794</v>
      </c>
      <c r="BT7" s="56">
        <v>35916</v>
      </c>
      <c r="BU7" s="8">
        <v>0</v>
      </c>
      <c r="BV7" s="8">
        <v>0</v>
      </c>
      <c r="BW7" s="8">
        <v>0</v>
      </c>
      <c r="CA7" s="58">
        <v>38292</v>
      </c>
      <c r="CB7" s="59">
        <f>BY85</f>
        <v>44652.66287827491</v>
      </c>
      <c r="CC7" s="59">
        <f t="shared" ref="CC7" si="33">BZ85</f>
        <v>0</v>
      </c>
      <c r="CD7">
        <v>0</v>
      </c>
      <c r="CE7" s="8">
        <v>628.79999999999995</v>
      </c>
      <c r="CF7" s="8">
        <f t="shared" si="29"/>
        <v>677.4615461724037</v>
      </c>
      <c r="CG7" s="8">
        <f t="shared" si="5"/>
        <v>0</v>
      </c>
      <c r="CH7" s="58"/>
      <c r="CI7" s="8">
        <v>8.3544650449164539</v>
      </c>
      <c r="CJ7" s="8">
        <v>9</v>
      </c>
      <c r="CN7">
        <v>2004</v>
      </c>
      <c r="CO7" s="11">
        <v>48.237647135117477</v>
      </c>
      <c r="CP7" s="11">
        <v>28.535294229844038</v>
      </c>
      <c r="CQ7" s="11">
        <v>16.179999968584845</v>
      </c>
      <c r="CR7" s="11">
        <v>30.278823471069337</v>
      </c>
      <c r="CS7" s="11">
        <v>38.00352922327378</v>
      </c>
      <c r="CT7" s="11">
        <v>47.208235482608572</v>
      </c>
      <c r="CU7" s="11">
        <v>30.564705882352943</v>
      </c>
      <c r="CV7" s="11">
        <v>23.63529411764706</v>
      </c>
      <c r="CW7" s="11">
        <v>23.176470588235293</v>
      </c>
      <c r="CX7" s="11">
        <v>13.823529411764707</v>
      </c>
      <c r="CY7" s="11">
        <v>45.305882352941175</v>
      </c>
      <c r="CZ7" s="11">
        <v>65.941176470588232</v>
      </c>
      <c r="DA7" s="11">
        <v>410.89058833402743</v>
      </c>
      <c r="DB7" s="11">
        <f t="shared" si="6"/>
        <v>178.37647058823529</v>
      </c>
      <c r="DH7" s="38">
        <v>2004</v>
      </c>
      <c r="DI7" s="11">
        <v>38.241747643183736</v>
      </c>
      <c r="DJ7" s="11">
        <v>38.953398176767294</v>
      </c>
      <c r="DK7" s="11">
        <v>18.670873790111358</v>
      </c>
      <c r="DL7" s="11">
        <v>32.016504871035082</v>
      </c>
      <c r="DM7" s="11">
        <v>37.60485443559665</v>
      </c>
      <c r="DN7" s="11">
        <v>51.800970799714619</v>
      </c>
      <c r="DO7" s="11">
        <v>35.126213592233007</v>
      </c>
      <c r="DP7" s="11">
        <v>28.087378640776699</v>
      </c>
      <c r="DQ7" s="11">
        <v>20.116504854368934</v>
      </c>
      <c r="DR7" s="11">
        <v>20.679611650485437</v>
      </c>
      <c r="DS7" s="11">
        <v>52.873786407766993</v>
      </c>
      <c r="DT7" s="11">
        <v>74.320388349514559</v>
      </c>
      <c r="DU7" s="11">
        <v>448.49223321155432</v>
      </c>
      <c r="DV7" s="11">
        <f t="shared" si="7"/>
        <v>213.11650485436894</v>
      </c>
      <c r="DW7" s="56">
        <v>35947</v>
      </c>
      <c r="DX7">
        <v>0</v>
      </c>
      <c r="DY7">
        <v>4019.999938964841</v>
      </c>
      <c r="DZ7" s="8">
        <v>0</v>
      </c>
      <c r="EF7" s="56">
        <f>EA72</f>
        <v>37926</v>
      </c>
      <c r="EG7" s="8">
        <f t="shared" ref="EG7" si="34">EB72</f>
        <v>3049.0358771085721</v>
      </c>
      <c r="EH7" s="8">
        <f t="shared" ref="EH7" si="35">EC72</f>
        <v>30686.627013891935</v>
      </c>
      <c r="EI7" s="8">
        <f t="shared" ref="EI7" si="36">ED72</f>
        <v>3995.0437707900996</v>
      </c>
      <c r="EK7" s="38">
        <v>2003</v>
      </c>
      <c r="EL7" s="8">
        <v>4122.2</v>
      </c>
      <c r="EM7" s="8">
        <f t="shared" ref="EM7:EM16" si="37">DM29</f>
        <v>3346.8967171935315</v>
      </c>
      <c r="EN7" s="8">
        <f t="shared" si="17"/>
        <v>775.30328280646836</v>
      </c>
      <c r="EO7" s="8">
        <f t="shared" ref="EO7:EO16" si="38">EG7/DL29</f>
        <v>303.96783533003634</v>
      </c>
      <c r="EP7" s="8">
        <f t="shared" si="18"/>
        <v>471.33544747643202</v>
      </c>
      <c r="ER7" s="38">
        <v>2003</v>
      </c>
      <c r="ES7" s="8">
        <f t="shared" si="19"/>
        <v>471.33544747643202</v>
      </c>
      <c r="ET7" s="8">
        <f t="shared" si="20"/>
        <v>34681.670784682035</v>
      </c>
      <c r="FE7" s="56">
        <v>35947</v>
      </c>
      <c r="FF7" s="8" t="e">
        <f>DX7+#REF!+#REF!</f>
        <v>#REF!</v>
      </c>
      <c r="FG7" s="8" t="e">
        <f>#REF!+DY7+#REF!</f>
        <v>#REF!</v>
      </c>
      <c r="FH7" s="8">
        <f t="shared" si="11"/>
        <v>0</v>
      </c>
    </row>
    <row r="8" spans="1:167" x14ac:dyDescent="0.25">
      <c r="A8" s="1">
        <v>2003</v>
      </c>
      <c r="B8" s="3">
        <v>29.129139072847682</v>
      </c>
      <c r="C8" s="3">
        <v>68.076158940397349</v>
      </c>
      <c r="D8" s="3">
        <v>9.072847682119205</v>
      </c>
      <c r="E8" s="3">
        <v>84.801324503311264</v>
      </c>
      <c r="F8" s="3">
        <v>20.142384105960264</v>
      </c>
      <c r="G8" s="3">
        <v>43.003311258278146</v>
      </c>
      <c r="H8" s="3">
        <v>22.589072817998218</v>
      </c>
      <c r="I8" s="3">
        <v>69.389403880037221</v>
      </c>
      <c r="J8" s="3">
        <v>3.4208609234813032</v>
      </c>
      <c r="K8" s="3">
        <v>31.265231858815579</v>
      </c>
      <c r="L8" s="3">
        <v>20.380463571737934</v>
      </c>
      <c r="M8" s="3">
        <v>40.90562909802064</v>
      </c>
      <c r="O8" s="20">
        <f t="shared" si="21"/>
        <v>1.8981026484457073</v>
      </c>
      <c r="P8" s="11">
        <f t="shared" si="22"/>
        <v>185.50231785490024</v>
      </c>
      <c r="Q8" s="11">
        <f t="shared" si="12"/>
        <v>-14.497682145099759</v>
      </c>
      <c r="AB8">
        <v>1998</v>
      </c>
      <c r="AC8">
        <v>12</v>
      </c>
      <c r="AD8" s="8">
        <v>45021.128185391426</v>
      </c>
      <c r="AE8" s="8">
        <v>640.5861206054692</v>
      </c>
      <c r="AF8" s="8">
        <v>0</v>
      </c>
      <c r="AG8" s="11">
        <v>101.81</v>
      </c>
      <c r="AM8" t="s">
        <v>110</v>
      </c>
      <c r="AN8" s="8">
        <v>2410.5</v>
      </c>
      <c r="AO8" s="11">
        <f>AH83</f>
        <v>73183.970255484819</v>
      </c>
      <c r="AP8" s="11">
        <f>AI83</f>
        <v>1589.2710499763486</v>
      </c>
      <c r="AQ8" s="11">
        <f t="shared" si="23"/>
        <v>-14.497682145099759</v>
      </c>
      <c r="AR8" s="11">
        <f>AI78</f>
        <v>0</v>
      </c>
      <c r="AS8" s="11">
        <f>AH77</f>
        <v>0</v>
      </c>
      <c r="AT8" s="11">
        <f>AI77</f>
        <v>0</v>
      </c>
      <c r="BD8">
        <v>2004</v>
      </c>
      <c r="BE8" s="8">
        <f t="shared" si="1"/>
        <v>2410.5</v>
      </c>
      <c r="BF8" s="8">
        <f t="shared" si="2"/>
        <v>5573.6648399446358</v>
      </c>
      <c r="BG8" s="8">
        <f t="shared" si="3"/>
        <v>5277.8078510219102</v>
      </c>
      <c r="BT8" s="56">
        <v>35947</v>
      </c>
      <c r="BU8" s="8">
        <v>0</v>
      </c>
      <c r="BV8" s="8">
        <v>10334.317027568817</v>
      </c>
      <c r="BW8" s="8">
        <v>0</v>
      </c>
      <c r="CA8" s="58">
        <v>38657</v>
      </c>
      <c r="CB8" s="59">
        <f>BY97</f>
        <v>72060.121536254897</v>
      </c>
      <c r="CC8" s="59">
        <f t="shared" ref="CC8" si="39">BZ97</f>
        <v>3390.8312034606911</v>
      </c>
      <c r="CD8">
        <v>0</v>
      </c>
      <c r="CE8" s="8">
        <v>2353.66</v>
      </c>
      <c r="CF8" s="8">
        <f t="shared" si="29"/>
        <v>516.08677125858287</v>
      </c>
      <c r="CG8" s="8">
        <f t="shared" si="5"/>
        <v>1837.5732287414171</v>
      </c>
      <c r="CH8" s="58"/>
      <c r="CI8" s="8">
        <v>180390340.07787079</v>
      </c>
      <c r="CJ8" s="8">
        <v>97164393.648921683</v>
      </c>
      <c r="CN8">
        <v>2005</v>
      </c>
      <c r="CO8" s="11">
        <v>34.917647058823526</v>
      </c>
      <c r="CP8" s="11">
        <v>19.08235294117647</v>
      </c>
      <c r="CQ8" s="11">
        <v>13.129411764705882</v>
      </c>
      <c r="CR8" s="11">
        <v>1.0117647058823529</v>
      </c>
      <c r="CS8" s="11">
        <v>1.8941176470588235</v>
      </c>
      <c r="CT8" s="11">
        <v>142.92941176470589</v>
      </c>
      <c r="CU8" s="11">
        <v>22.803529380349552</v>
      </c>
      <c r="CV8" s="11">
        <v>19.121176461612478</v>
      </c>
      <c r="CW8" s="11">
        <v>70.404705496395337</v>
      </c>
      <c r="CX8" s="11">
        <v>67.268235509535842</v>
      </c>
      <c r="CY8" s="11">
        <v>57.639999905754536</v>
      </c>
      <c r="CZ8" s="11">
        <v>18.561176457124599</v>
      </c>
      <c r="DA8" s="11">
        <v>468.76352909312527</v>
      </c>
      <c r="DB8" s="11">
        <f t="shared" si="6"/>
        <v>143.73647043003754</v>
      </c>
      <c r="DH8" s="38">
        <v>2005</v>
      </c>
      <c r="DI8" s="11">
        <v>37.66990291262136</v>
      </c>
      <c r="DJ8" s="11">
        <v>34.33009708737864</v>
      </c>
      <c r="DK8" s="11">
        <v>13.922330097087379</v>
      </c>
      <c r="DL8" s="11">
        <v>2.5145631067961167</v>
      </c>
      <c r="DM8" s="11">
        <v>4.592233009708738</v>
      </c>
      <c r="DN8" s="11">
        <v>130.873786407767</v>
      </c>
      <c r="DO8" s="11">
        <v>29.438834847755803</v>
      </c>
      <c r="DP8" s="11">
        <v>21.35048543133782</v>
      </c>
      <c r="DQ8" s="11">
        <v>73.304854531889987</v>
      </c>
      <c r="DR8" s="11">
        <v>60.313592299674319</v>
      </c>
      <c r="DS8" s="11">
        <v>67.540776891615778</v>
      </c>
      <c r="DT8" s="11">
        <v>18.843689325943735</v>
      </c>
      <c r="DU8" s="11">
        <v>494.69514594957667</v>
      </c>
      <c r="DV8" s="11">
        <f t="shared" si="7"/>
        <v>164.22815539073017</v>
      </c>
      <c r="DW8" s="56">
        <v>35977</v>
      </c>
      <c r="DX8">
        <v>639.84373474121014</v>
      </c>
      <c r="DY8">
        <v>3560.1279594898183</v>
      </c>
      <c r="DZ8" s="8">
        <v>56.932771563530011</v>
      </c>
      <c r="EF8" s="56">
        <f>EA84</f>
        <v>38292</v>
      </c>
      <c r="EG8" s="8">
        <f t="shared" ref="EG8" si="40">EB84</f>
        <v>3049.0337473750092</v>
      </c>
      <c r="EH8" s="8">
        <f t="shared" ref="EH8" si="41">EC84</f>
        <v>28183.002410352226</v>
      </c>
      <c r="EI8" s="8">
        <f t="shared" ref="EI8" si="42">ED84</f>
        <v>799.241004943848</v>
      </c>
      <c r="EK8" s="38">
        <v>2004</v>
      </c>
      <c r="EL8" s="8">
        <v>4246.5</v>
      </c>
      <c r="EM8" s="8">
        <f t="shared" si="37"/>
        <v>4449.6584502758187</v>
      </c>
      <c r="EN8" s="8">
        <f t="shared" si="17"/>
        <v>0</v>
      </c>
      <c r="EO8" s="8">
        <f t="shared" si="38"/>
        <v>320.94147042280781</v>
      </c>
      <c r="EP8" s="8">
        <f t="shared" si="18"/>
        <v>0</v>
      </c>
      <c r="ER8" s="38">
        <v>2004</v>
      </c>
      <c r="ES8" s="8">
        <f t="shared" si="19"/>
        <v>0</v>
      </c>
      <c r="ET8" s="8">
        <f t="shared" si="20"/>
        <v>28982.243415296074</v>
      </c>
      <c r="FE8" s="56">
        <v>35977</v>
      </c>
      <c r="FF8" s="8" t="e">
        <f>DX8+#REF!+#REF!</f>
        <v>#REF!</v>
      </c>
      <c r="FG8" s="8" t="e">
        <f>#REF!+DY8+#REF!</f>
        <v>#REF!</v>
      </c>
      <c r="FH8" s="8">
        <f t="shared" si="11"/>
        <v>56.932771563530011</v>
      </c>
    </row>
    <row r="9" spans="1:167" x14ac:dyDescent="0.25">
      <c r="A9" s="1">
        <v>2004</v>
      </c>
      <c r="B9" s="3">
        <v>46.689735036812081</v>
      </c>
      <c r="C9" s="3">
        <v>46.261258289513997</v>
      </c>
      <c r="D9" s="3">
        <v>31.966887420376406</v>
      </c>
      <c r="E9" s="3">
        <v>36.523841100023283</v>
      </c>
      <c r="F9" s="3">
        <v>33.119205293276451</v>
      </c>
      <c r="G9" s="3">
        <v>33.895364186621663</v>
      </c>
      <c r="H9" s="3">
        <v>30.513245033112582</v>
      </c>
      <c r="I9" s="3">
        <v>19.94701986754967</v>
      </c>
      <c r="J9" s="3">
        <v>15.943708609271523</v>
      </c>
      <c r="K9" s="3">
        <v>14.132450331125828</v>
      </c>
      <c r="L9" s="3">
        <v>45.347682119205295</v>
      </c>
      <c r="M9" s="3">
        <v>80.198675496688736</v>
      </c>
      <c r="O9" s="20">
        <f t="shared" si="21"/>
        <v>1.4755099332095769</v>
      </c>
      <c r="P9" s="11">
        <f t="shared" si="22"/>
        <v>166.22185430463577</v>
      </c>
      <c r="Q9" s="11">
        <f t="shared" si="12"/>
        <v>-33.778145695364231</v>
      </c>
      <c r="AB9">
        <v>1999</v>
      </c>
      <c r="AC9">
        <v>1</v>
      </c>
      <c r="AD9" s="8">
        <v>68728.855444192901</v>
      </c>
      <c r="AE9" s="8">
        <v>264.70382165908819</v>
      </c>
      <c r="AF9" s="8">
        <v>0</v>
      </c>
      <c r="AG9" s="11">
        <v>101.81</v>
      </c>
      <c r="AM9" t="s">
        <v>111</v>
      </c>
      <c r="AN9" s="8">
        <v>8353.27</v>
      </c>
      <c r="AO9" s="11">
        <f>AH95</f>
        <v>158742.9722597599</v>
      </c>
      <c r="AP9" s="11">
        <f>AI95</f>
        <v>11687.210619851952</v>
      </c>
      <c r="AQ9" s="11">
        <f t="shared" si="23"/>
        <v>-33.778145695364231</v>
      </c>
      <c r="AR9" s="11">
        <f>AI90</f>
        <v>0</v>
      </c>
      <c r="AS9" s="11">
        <f>AH89</f>
        <v>0</v>
      </c>
      <c r="AT9" s="11">
        <f>AI89</f>
        <v>0</v>
      </c>
      <c r="AV9">
        <f t="array" ref="AV9:AX13">LINEST(AN4:AN16,AO4:AQ16,0,1)</f>
        <v>9.7734501101721136</v>
      </c>
      <c r="AW9">
        <v>0.12856782454129664</v>
      </c>
      <c r="AX9">
        <v>7.1625856585718864E-2</v>
      </c>
      <c r="AZ9">
        <f t="array" ref="AZ9:BB13">LINEST(AN4:AN12,AO4:AQ12,0,1)</f>
        <v>26.60393532952439</v>
      </c>
      <c r="BA9">
        <v>0.51992656513363733</v>
      </c>
      <c r="BB9">
        <v>6.5246337900482704E-2</v>
      </c>
      <c r="BD9">
        <v>2005</v>
      </c>
      <c r="BE9" s="8">
        <f t="shared" si="1"/>
        <v>8353.27</v>
      </c>
      <c r="BF9" s="8">
        <f t="shared" si="2"/>
        <v>18011.542777956409</v>
      </c>
      <c r="BG9" s="8">
        <f t="shared" si="3"/>
        <v>14913.558284196348</v>
      </c>
      <c r="BT9" s="56">
        <v>35977</v>
      </c>
      <c r="BU9" s="8">
        <v>0</v>
      </c>
      <c r="BV9" s="8">
        <v>6760.6617546081543</v>
      </c>
      <c r="BW9" s="8">
        <v>0</v>
      </c>
      <c r="CA9" s="58">
        <v>39022</v>
      </c>
      <c r="CB9" s="59">
        <f>BY109</f>
        <v>114687.49063205728</v>
      </c>
      <c r="CC9" s="59">
        <f t="shared" ref="CC9" si="43">BZ109</f>
        <v>7023.1358489990198</v>
      </c>
      <c r="CD9">
        <v>0</v>
      </c>
      <c r="CE9" s="8">
        <v>2375.48</v>
      </c>
      <c r="CF9" s="8">
        <f t="shared" si="29"/>
        <v>529.70320511929117</v>
      </c>
      <c r="CG9" s="8">
        <f t="shared" si="5"/>
        <v>1845.7767948807088</v>
      </c>
      <c r="CH9" s="58"/>
      <c r="CI9" s="8"/>
      <c r="CJ9" s="8"/>
      <c r="CN9">
        <v>2006</v>
      </c>
      <c r="CO9" s="11">
        <v>32.404705832986274</v>
      </c>
      <c r="CP9" s="11">
        <v>22.883529416252586</v>
      </c>
      <c r="CQ9" s="11">
        <v>12.247058817919562</v>
      </c>
      <c r="CR9" s="11">
        <v>10.148235298605526</v>
      </c>
      <c r="CS9" s="11">
        <v>2.3682352711172663</v>
      </c>
      <c r="CT9" s="11">
        <v>33.834117620131551</v>
      </c>
      <c r="CU9" s="11">
        <v>54.944705783619597</v>
      </c>
      <c r="CV9" s="11">
        <v>7.9035293747397031</v>
      </c>
      <c r="CW9" s="11">
        <v>11.020000014585607</v>
      </c>
      <c r="CX9" s="11">
        <v>1.4058823683682611</v>
      </c>
      <c r="CY9" s="11">
        <v>12.901176486295812</v>
      </c>
      <c r="CZ9" s="11">
        <v>21.076470565795898</v>
      </c>
      <c r="DA9" s="11">
        <v>223.13764685041761</v>
      </c>
      <c r="DB9" s="11">
        <f t="shared" si="6"/>
        <v>197.39647031671859</v>
      </c>
      <c r="DH9" s="38">
        <v>2006</v>
      </c>
      <c r="DI9" s="11">
        <v>36.036893159440417</v>
      </c>
      <c r="DJ9" s="11">
        <v>28.297087289754625</v>
      </c>
      <c r="DK9" s="11">
        <v>13.509708723975617</v>
      </c>
      <c r="DL9" s="11">
        <v>7.3359223199122159</v>
      </c>
      <c r="DM9" s="11">
        <v>2.043689327043237</v>
      </c>
      <c r="DN9" s="11">
        <v>39.649514651992945</v>
      </c>
      <c r="DO9" s="11">
        <v>56.807766997698444</v>
      </c>
      <c r="DP9" s="11">
        <v>7.9135922644902204</v>
      </c>
      <c r="DQ9" s="11">
        <v>8.4504854424485885</v>
      </c>
      <c r="DR9" s="11">
        <v>2.1563106717415228</v>
      </c>
      <c r="DS9" s="11">
        <v>13.481553429538764</v>
      </c>
      <c r="DT9" s="11">
        <v>20.508737851115107</v>
      </c>
      <c r="DU9" s="11">
        <v>236.19126212915171</v>
      </c>
      <c r="DV9" s="11">
        <f t="shared" si="7"/>
        <v>194.81262127404074</v>
      </c>
      <c r="DW9" s="56">
        <v>36008</v>
      </c>
      <c r="DX9">
        <v>19.16305160522462</v>
      </c>
      <c r="DY9">
        <v>0</v>
      </c>
      <c r="DZ9" s="8">
        <v>51.442305564880414</v>
      </c>
      <c r="EF9" s="56">
        <f>EA96</f>
        <v>38657</v>
      </c>
      <c r="EG9" s="8">
        <f t="shared" ref="EG9" si="44">EB96</f>
        <v>4421.7741430997821</v>
      </c>
      <c r="EH9" s="8">
        <f t="shared" ref="EH9" si="45">EC96</f>
        <v>74074.216557025924</v>
      </c>
      <c r="EI9" s="8">
        <f t="shared" ref="EI9" si="46">ED96</f>
        <v>3351.3345558643309</v>
      </c>
      <c r="EK9" s="38">
        <v>2005</v>
      </c>
      <c r="EL9" s="8">
        <v>5061.8999999999987</v>
      </c>
      <c r="EM9" s="8">
        <f t="shared" si="37"/>
        <v>3337.7170074869305</v>
      </c>
      <c r="EN9" s="8">
        <f t="shared" si="17"/>
        <v>1724.1829925130683</v>
      </c>
      <c r="EO9" s="8">
        <f t="shared" si="38"/>
        <v>442.6571116850152</v>
      </c>
      <c r="EP9" s="8">
        <f t="shared" si="18"/>
        <v>1281.525880828053</v>
      </c>
      <c r="ER9" s="38">
        <v>2005</v>
      </c>
      <c r="ES9" s="8">
        <f t="shared" si="19"/>
        <v>1281.525880828053</v>
      </c>
      <c r="ET9" s="8">
        <f t="shared" si="20"/>
        <v>77425.551112890258</v>
      </c>
      <c r="FE9" s="56">
        <v>36008</v>
      </c>
      <c r="FF9" s="8" t="e">
        <f>DX9+#REF!+#REF!</f>
        <v>#REF!</v>
      </c>
      <c r="FG9" s="8" t="e">
        <f>#REF!+DY9+#REF!</f>
        <v>#REF!</v>
      </c>
      <c r="FH9" s="8">
        <f t="shared" si="11"/>
        <v>51.442305564880414</v>
      </c>
    </row>
    <row r="10" spans="1:167" x14ac:dyDescent="0.25">
      <c r="A10" s="1">
        <v>2005</v>
      </c>
      <c r="B10" s="3">
        <v>20.834437086092716</v>
      </c>
      <c r="C10" s="3">
        <v>5.7086092715231791</v>
      </c>
      <c r="D10" s="3">
        <v>9.6523178807947012</v>
      </c>
      <c r="E10" s="3">
        <v>4.185430463576159</v>
      </c>
      <c r="F10" s="3">
        <v>5.0529801324503314</v>
      </c>
      <c r="G10" s="3">
        <v>158.98675496688742</v>
      </c>
      <c r="H10" s="3">
        <v>12.575827848042874</v>
      </c>
      <c r="I10" s="3">
        <v>13.809602645848761</v>
      </c>
      <c r="J10" s="3">
        <v>66.17814570546939</v>
      </c>
      <c r="K10" s="3">
        <v>69.053311190068328</v>
      </c>
      <c r="L10" s="3">
        <v>46.135761538878185</v>
      </c>
      <c r="M10" s="3">
        <v>17.010264854557466</v>
      </c>
      <c r="O10" s="20">
        <f t="shared" si="21"/>
        <v>3.256566224887671</v>
      </c>
      <c r="P10" s="11">
        <f t="shared" si="22"/>
        <v>178.47947008957138</v>
      </c>
      <c r="Q10" s="11">
        <f t="shared" si="12"/>
        <v>-21.520529910428621</v>
      </c>
      <c r="AB10">
        <v>1999</v>
      </c>
      <c r="AC10">
        <v>2</v>
      </c>
      <c r="AD10" s="8">
        <v>70358.969123482661</v>
      </c>
      <c r="AE10" s="8">
        <v>0</v>
      </c>
      <c r="AF10" s="8">
        <v>0</v>
      </c>
      <c r="AG10" s="11">
        <v>101.81</v>
      </c>
      <c r="AM10" t="s">
        <v>112</v>
      </c>
      <c r="AN10" s="8">
        <v>6947.670000000001</v>
      </c>
      <c r="AO10" s="11">
        <f>AH107</f>
        <v>193126.78822884901</v>
      </c>
      <c r="AP10" s="11">
        <f>AI107</f>
        <v>442.83332812786085</v>
      </c>
      <c r="AQ10" s="11">
        <f t="shared" si="23"/>
        <v>-21.520529910428621</v>
      </c>
      <c r="AR10" s="11">
        <f>AI102</f>
        <v>0</v>
      </c>
      <c r="AS10" s="11">
        <f>AH101</f>
        <v>0</v>
      </c>
      <c r="AT10" s="11">
        <f>AI101</f>
        <v>0</v>
      </c>
      <c r="AV10">
        <v>30.409565371099411</v>
      </c>
      <c r="AW10">
        <v>0.36590520528687726</v>
      </c>
      <c r="AX10">
        <v>3.1955121445413091E-2</v>
      </c>
      <c r="AZ10">
        <v>37.585136153177842</v>
      </c>
      <c r="BA10">
        <v>0.55888345344898616</v>
      </c>
      <c r="BB10">
        <v>4.2738197972285494E-2</v>
      </c>
      <c r="BD10">
        <v>2006</v>
      </c>
      <c r="BE10" s="8">
        <f t="shared" si="1"/>
        <v>6947.670000000001</v>
      </c>
      <c r="BF10" s="8">
        <f t="shared" si="2"/>
        <v>12012.668349837186</v>
      </c>
      <c r="BG10" s="8">
        <f t="shared" si="3"/>
        <v>12350.099604665191</v>
      </c>
      <c r="BT10" s="56">
        <v>36008</v>
      </c>
      <c r="BU10" s="8">
        <v>0</v>
      </c>
      <c r="BV10" s="8">
        <v>0</v>
      </c>
      <c r="BW10" s="8">
        <v>0</v>
      </c>
      <c r="CA10" s="58">
        <v>39387</v>
      </c>
      <c r="CB10" s="59">
        <f>BY121</f>
        <v>35019.569796562195</v>
      </c>
      <c r="CC10" s="59">
        <f t="shared" ref="CC10" si="47">BZ121</f>
        <v>10683.308272361759</v>
      </c>
      <c r="CD10">
        <v>0</v>
      </c>
      <c r="CE10" s="8">
        <v>284.20999999999998</v>
      </c>
      <c r="CF10" s="8">
        <f t="shared" si="29"/>
        <v>628.41507996562586</v>
      </c>
      <c r="CG10" s="8">
        <f t="shared" si="5"/>
        <v>0</v>
      </c>
      <c r="CH10" s="58"/>
      <c r="CI10" s="8"/>
      <c r="CJ10" s="8"/>
      <c r="CN10">
        <v>2007</v>
      </c>
      <c r="CO10" s="11">
        <v>71.638823385799625</v>
      </c>
      <c r="CP10" s="11">
        <v>49.628235469144933</v>
      </c>
      <c r="CQ10" s="11">
        <v>42.151764409682329</v>
      </c>
      <c r="CR10" s="11">
        <v>15.103529470107135</v>
      </c>
      <c r="CS10" s="11">
        <v>49.969411917293776</v>
      </c>
      <c r="CT10" s="11">
        <v>91.954117673986104</v>
      </c>
      <c r="CU10" s="11">
        <v>2.4</v>
      </c>
      <c r="CV10" s="11">
        <v>14.085882231768441</v>
      </c>
      <c r="CW10" s="11">
        <v>3.5294117647058823E-2</v>
      </c>
      <c r="CX10" s="11">
        <v>6.223529411764706</v>
      </c>
      <c r="CY10" s="11">
        <v>60.247058823529414</v>
      </c>
      <c r="CZ10" s="11">
        <v>146.74117647058824</v>
      </c>
      <c r="DA10" s="11">
        <v>550.17882338131176</v>
      </c>
      <c r="DB10" s="11">
        <f t="shared" si="6"/>
        <v>380.7294117647059</v>
      </c>
      <c r="DH10" s="38">
        <v>2007</v>
      </c>
      <c r="DI10" s="11">
        <v>68.875727996085459</v>
      </c>
      <c r="DJ10" s="11">
        <v>51.423300956059428</v>
      </c>
      <c r="DK10" s="11">
        <v>40.523301041241986</v>
      </c>
      <c r="DL10" s="11">
        <v>15.325242736964549</v>
      </c>
      <c r="DM10" s="11">
        <v>53.213592233009706</v>
      </c>
      <c r="DN10" s="11">
        <v>124.95145594032066</v>
      </c>
      <c r="DO10" s="11">
        <v>9.0485436893203879</v>
      </c>
      <c r="DP10" s="11">
        <v>17.031068005608123</v>
      </c>
      <c r="DQ10" s="11">
        <v>0.42718446601941745</v>
      </c>
      <c r="DR10" s="11">
        <v>3.029126213592233</v>
      </c>
      <c r="DS10" s="11">
        <v>72.786407766990294</v>
      </c>
      <c r="DT10" s="11">
        <v>132.00970873786409</v>
      </c>
      <c r="DU10" s="11">
        <v>588.64465978307635</v>
      </c>
      <c r="DV10" s="11">
        <f t="shared" si="7"/>
        <v>366.7087378640777</v>
      </c>
      <c r="DW10" s="56">
        <v>36039</v>
      </c>
      <c r="DX10">
        <v>0</v>
      </c>
      <c r="DY10">
        <v>0</v>
      </c>
      <c r="DZ10" s="8">
        <v>0</v>
      </c>
      <c r="EF10" s="56">
        <f>EA108</f>
        <v>39022</v>
      </c>
      <c r="EG10" s="8">
        <f t="shared" ref="EG10" si="48">EB108</f>
        <v>3049.0277241468416</v>
      </c>
      <c r="EH10" s="8">
        <f t="shared" ref="EH10" si="49">EC108</f>
        <v>82581.207894816995</v>
      </c>
      <c r="EI10" s="8">
        <f t="shared" ref="EI10" si="50">ED108</f>
        <v>32.2077445983887</v>
      </c>
      <c r="EK10" s="38">
        <v>2006</v>
      </c>
      <c r="EL10" s="8">
        <v>4360.6600000000008</v>
      </c>
      <c r="EM10" s="8">
        <f t="shared" si="37"/>
        <v>3313.5721553011317</v>
      </c>
      <c r="EN10" s="8">
        <f t="shared" si="17"/>
        <v>1047.087844698869</v>
      </c>
      <c r="EO10" s="8">
        <f t="shared" si="38"/>
        <v>314.87425535499528</v>
      </c>
      <c r="EP10" s="8">
        <f t="shared" si="18"/>
        <v>732.21358934387376</v>
      </c>
      <c r="ER10" s="38">
        <v>2006</v>
      </c>
      <c r="ES10" s="8">
        <f t="shared" si="19"/>
        <v>732.21358934387376</v>
      </c>
      <c r="ET10" s="8">
        <f t="shared" si="20"/>
        <v>82613.415639415383</v>
      </c>
      <c r="FE10" s="56">
        <v>36039</v>
      </c>
      <c r="FF10" s="8" t="e">
        <f>DX10+#REF!+#REF!</f>
        <v>#REF!</v>
      </c>
      <c r="FG10" s="8" t="e">
        <f>#REF!+DY10+#REF!</f>
        <v>#REF!</v>
      </c>
      <c r="FH10" s="8">
        <f t="shared" si="11"/>
        <v>0</v>
      </c>
    </row>
    <row r="11" spans="1:167" x14ac:dyDescent="0.25">
      <c r="A11" s="1">
        <v>2006</v>
      </c>
      <c r="B11" s="3">
        <v>15.317549652611183</v>
      </c>
      <c r="C11" s="3">
        <v>30.962582853456208</v>
      </c>
      <c r="D11" s="3">
        <v>19.273178817420607</v>
      </c>
      <c r="E11" s="3">
        <v>13.927483478129306</v>
      </c>
      <c r="F11" s="3">
        <v>0.91788078134028328</v>
      </c>
      <c r="G11" s="3">
        <v>37.527814517747487</v>
      </c>
      <c r="H11" s="3">
        <v>68.31026497897723</v>
      </c>
      <c r="I11" s="3">
        <v>3.5437086078504851</v>
      </c>
      <c r="J11" s="3">
        <v>19.40264895578094</v>
      </c>
      <c r="K11" s="3">
        <v>2.8341059623569844</v>
      </c>
      <c r="L11" s="3">
        <v>19.905629120125674</v>
      </c>
      <c r="M11" s="3">
        <v>20.429139001480003</v>
      </c>
      <c r="O11" s="20">
        <f t="shared" si="21"/>
        <v>1.3253642380405342</v>
      </c>
      <c r="P11" s="11">
        <f t="shared" si="22"/>
        <v>165.4993376765425</v>
      </c>
      <c r="Q11" s="11">
        <f t="shared" si="12"/>
        <v>-34.500662323457504</v>
      </c>
      <c r="AB11">
        <v>1999</v>
      </c>
      <c r="AC11">
        <v>3</v>
      </c>
      <c r="AD11" s="8">
        <v>41875.189510285869</v>
      </c>
      <c r="AE11" s="8">
        <v>1654.3222303390507</v>
      </c>
      <c r="AF11" s="8">
        <v>0</v>
      </c>
      <c r="AG11" s="11">
        <v>101.81</v>
      </c>
      <c r="AH11" s="11">
        <f>SUM(AD3:AD11)</f>
        <v>229195.51186773181</v>
      </c>
      <c r="AI11" s="11">
        <f>SUM(AE3:AE11)</f>
        <v>25723.53280571102</v>
      </c>
      <c r="AM11" t="s">
        <v>113</v>
      </c>
      <c r="AN11" s="8">
        <v>294.15999999999997</v>
      </c>
      <c r="AO11" s="11">
        <f>AH119</f>
        <v>58903.096612824142</v>
      </c>
      <c r="AP11" s="11">
        <f>AI119</f>
        <v>2978.4039565920839</v>
      </c>
      <c r="AQ11" s="11">
        <f t="shared" si="23"/>
        <v>-34.500662323457504</v>
      </c>
      <c r="AR11" s="11">
        <f>AI114</f>
        <v>0</v>
      </c>
      <c r="AS11" s="11">
        <f>AH113</f>
        <v>0</v>
      </c>
      <c r="AT11" s="11">
        <f>AI113</f>
        <v>0</v>
      </c>
      <c r="AV11">
        <v>0.702129880290564</v>
      </c>
      <c r="AW11">
        <v>10109.835761488575</v>
      </c>
      <c r="AX11" t="e">
        <v>#N/A</v>
      </c>
      <c r="AZ11">
        <v>0.7447354248313004</v>
      </c>
      <c r="BA11">
        <v>10177.347438472776</v>
      </c>
      <c r="BB11" t="e">
        <v>#N/A</v>
      </c>
      <c r="BD11">
        <v>2007</v>
      </c>
      <c r="BE11" s="8">
        <f t="shared" si="1"/>
        <v>294.15999999999997</v>
      </c>
      <c r="BF11" s="8">
        <f t="shared" si="2"/>
        <v>5707.2327620530832</v>
      </c>
      <c r="BG11" s="8">
        <f t="shared" si="3"/>
        <v>4962.5761901291362</v>
      </c>
      <c r="BT11" s="56">
        <v>36039</v>
      </c>
      <c r="BU11" s="8">
        <v>0</v>
      </c>
      <c r="BV11" s="8">
        <v>0</v>
      </c>
      <c r="BW11" s="8">
        <v>0</v>
      </c>
      <c r="CA11" s="58">
        <v>39753</v>
      </c>
      <c r="CB11" s="59">
        <f>BY133</f>
        <v>37921.98935723304</v>
      </c>
      <c r="CC11" s="59">
        <f t="shared" ref="CC11" si="51">BZ133</f>
        <v>2146.5677719116197</v>
      </c>
      <c r="CD11">
        <v>0</v>
      </c>
      <c r="CE11" s="8">
        <v>455.09000000000003</v>
      </c>
      <c r="CF11" s="8">
        <f t="shared" si="29"/>
        <v>545.26891698474242</v>
      </c>
      <c r="CG11" s="8">
        <f t="shared" si="5"/>
        <v>0</v>
      </c>
      <c r="CH11" s="58"/>
      <c r="CI11" s="17">
        <f t="array" ref="CI11:CK15">LINEST(CG2:CG12,CB2:CD12,0,1)</f>
        <v>6349.1987942911546</v>
      </c>
      <c r="CJ11" s="70">
        <v>7.1972711499094441E-2</v>
      </c>
      <c r="CK11">
        <v>1.4101219180255415E-2</v>
      </c>
      <c r="CN11">
        <v>2008</v>
      </c>
      <c r="CO11" s="11">
        <v>65.082352941176467</v>
      </c>
      <c r="CP11" s="11">
        <v>71.17647058823529</v>
      </c>
      <c r="CQ11" s="11">
        <v>37.482352941176472</v>
      </c>
      <c r="CR11" s="11">
        <v>1.2823529411764707</v>
      </c>
      <c r="CS11" s="11">
        <v>8.4823529411764707</v>
      </c>
      <c r="CT11" s="11">
        <v>41.152941176470591</v>
      </c>
      <c r="CU11" s="11">
        <v>16.217647047603833</v>
      </c>
      <c r="CV11" s="11">
        <v>30.140000040390913</v>
      </c>
      <c r="CW11" s="11">
        <v>37.298823569802678</v>
      </c>
      <c r="CX11" s="11">
        <v>65.811764885397523</v>
      </c>
      <c r="CY11" s="11">
        <v>81.604705855425664</v>
      </c>
      <c r="CZ11" s="11">
        <v>34.628235143773693</v>
      </c>
      <c r="DA11" s="11">
        <v>490.36000007180604</v>
      </c>
      <c r="DB11" s="11">
        <f t="shared" si="6"/>
        <v>222.40941184548771</v>
      </c>
      <c r="DH11" s="38">
        <v>2008</v>
      </c>
      <c r="DI11" s="11">
        <v>64.766990291262132</v>
      </c>
      <c r="DJ11" s="11">
        <v>60.242718446601941</v>
      </c>
      <c r="DK11" s="11">
        <v>36.902912621359221</v>
      </c>
      <c r="DL11" s="11">
        <v>3.0097087378640777</v>
      </c>
      <c r="DM11" s="11">
        <v>9.9611650485436893</v>
      </c>
      <c r="DN11" s="11">
        <v>36.087378640776699</v>
      </c>
      <c r="DO11" s="11">
        <v>20.665048562207268</v>
      </c>
      <c r="DP11" s="11">
        <v>31.633980575117093</v>
      </c>
      <c r="DQ11" s="11">
        <v>43.735922118992484</v>
      </c>
      <c r="DR11" s="11">
        <v>56.885436826539269</v>
      </c>
      <c r="DS11" s="11">
        <v>76.432038871987359</v>
      </c>
      <c r="DT11" s="11">
        <v>28.673786413322375</v>
      </c>
      <c r="DU11" s="11">
        <v>468.99708715457359</v>
      </c>
      <c r="DV11" s="11">
        <f t="shared" si="7"/>
        <v>212.16893192865317</v>
      </c>
      <c r="DW11" s="56">
        <v>36069</v>
      </c>
      <c r="DX11">
        <v>0</v>
      </c>
      <c r="DY11">
        <v>0</v>
      </c>
      <c r="DZ11" s="8">
        <v>0</v>
      </c>
      <c r="EB11" t="s">
        <v>362</v>
      </c>
      <c r="EC11" t="s">
        <v>271</v>
      </c>
      <c r="ED11" t="s">
        <v>272</v>
      </c>
      <c r="EF11" s="56">
        <f>EA120</f>
        <v>39387</v>
      </c>
      <c r="EG11" s="8">
        <f t="shared" ref="EG11" si="52">EB120</f>
        <v>3049.0338538885094</v>
      </c>
      <c r="EH11" s="8">
        <f t="shared" ref="EH11" si="53">EC120</f>
        <v>22336.865472311161</v>
      </c>
      <c r="EI11" s="8">
        <f t="shared" ref="EI11" si="54">ED120</f>
        <v>1517.1460266113306</v>
      </c>
      <c r="EK11" s="38">
        <v>2007</v>
      </c>
      <c r="EL11" s="8">
        <v>2547</v>
      </c>
      <c r="EM11" s="8">
        <f t="shared" si="37"/>
        <v>3895.8821399573794</v>
      </c>
      <c r="EN11" s="8">
        <f t="shared" si="17"/>
        <v>0</v>
      </c>
      <c r="EO11" s="8">
        <f t="shared" si="38"/>
        <v>382.83488536748962</v>
      </c>
      <c r="EP11" s="8">
        <f t="shared" si="18"/>
        <v>0</v>
      </c>
      <c r="ER11" s="38">
        <v>2007</v>
      </c>
      <c r="ES11" s="8">
        <f t="shared" si="19"/>
        <v>0</v>
      </c>
      <c r="ET11" s="8">
        <f t="shared" si="20"/>
        <v>23854.011498922493</v>
      </c>
      <c r="FE11" s="56">
        <v>36069</v>
      </c>
      <c r="FF11" s="8" t="e">
        <f>DX11+#REF!+#REF!</f>
        <v>#REF!</v>
      </c>
      <c r="FG11" s="8" t="e">
        <f>#REF!+DY11+#REF!</f>
        <v>#REF!</v>
      </c>
      <c r="FH11" s="8">
        <f t="shared" si="11"/>
        <v>0</v>
      </c>
      <c r="FI11" t="s">
        <v>271</v>
      </c>
      <c r="FJ11" t="s">
        <v>272</v>
      </c>
      <c r="FK11" t="s">
        <v>362</v>
      </c>
    </row>
    <row r="12" spans="1:167" x14ac:dyDescent="0.25">
      <c r="A12" s="1">
        <v>2007</v>
      </c>
      <c r="B12" s="3">
        <v>62.134106061316487</v>
      </c>
      <c r="C12" s="3">
        <v>60.196357531263338</v>
      </c>
      <c r="D12" s="3">
        <v>31.972847641698571</v>
      </c>
      <c r="E12" s="3">
        <v>13.327152309038782</v>
      </c>
      <c r="F12" s="3">
        <v>48.145033160582287</v>
      </c>
      <c r="G12" s="3">
        <v>45.30264900535937</v>
      </c>
      <c r="H12" s="3">
        <v>2.7152317880794703</v>
      </c>
      <c r="I12" s="3">
        <v>5.3798013252533039</v>
      </c>
      <c r="J12" s="3">
        <v>3.3112582781456956E-2</v>
      </c>
      <c r="K12" s="3">
        <v>22.778145695364238</v>
      </c>
      <c r="L12" s="3">
        <v>44.370860927152314</v>
      </c>
      <c r="M12" s="3">
        <v>203.2980132450331</v>
      </c>
      <c r="O12" s="20">
        <f t="shared" si="21"/>
        <v>1.2435397355742013</v>
      </c>
      <c r="P12" s="11">
        <f t="shared" si="22"/>
        <v>419.07615894039736</v>
      </c>
      <c r="Q12" s="11">
        <f t="shared" si="12"/>
        <v>219.07615894039736</v>
      </c>
      <c r="AB12">
        <v>1999</v>
      </c>
      <c r="AC12">
        <v>4</v>
      </c>
      <c r="AD12" s="8">
        <v>9359.101742297411</v>
      </c>
      <c r="AE12" s="8">
        <v>1607.859420776364</v>
      </c>
      <c r="AF12" s="8">
        <v>0</v>
      </c>
      <c r="AG12" s="11">
        <v>101.81</v>
      </c>
      <c r="AM12" t="s">
        <v>114</v>
      </c>
      <c r="AN12" s="8">
        <v>1305.8499999999999</v>
      </c>
      <c r="AO12" s="11">
        <f>AH131</f>
        <v>59592.572771675885</v>
      </c>
      <c r="AP12" s="11">
        <f>AI131</f>
        <v>56.749084472656236</v>
      </c>
      <c r="AQ12" s="11">
        <f t="shared" si="23"/>
        <v>219.07615894039736</v>
      </c>
      <c r="AR12" s="11">
        <f>AI126</f>
        <v>0</v>
      </c>
      <c r="AS12" s="11">
        <f>AH125</f>
        <v>0</v>
      </c>
      <c r="AT12" s="11">
        <f>AI125</f>
        <v>0</v>
      </c>
      <c r="AV12">
        <v>7.8572262856875588</v>
      </c>
      <c r="AW12">
        <v>10</v>
      </c>
      <c r="AX12" t="e">
        <v>#N/A</v>
      </c>
      <c r="AZ12">
        <v>5.835008044803069</v>
      </c>
      <c r="BA12">
        <v>6</v>
      </c>
      <c r="BB12" t="e">
        <v>#N/A</v>
      </c>
      <c r="BD12">
        <v>2008</v>
      </c>
      <c r="BE12" s="8">
        <f t="shared" si="1"/>
        <v>1305.8499999999999</v>
      </c>
      <c r="BF12" s="8">
        <f t="shared" si="2"/>
        <v>3649.2968350139085</v>
      </c>
      <c r="BG12" s="8">
        <f t="shared" si="3"/>
        <v>3777.2328482766884</v>
      </c>
      <c r="BT12" s="56">
        <v>36069</v>
      </c>
      <c r="BU12" s="8">
        <v>0</v>
      </c>
      <c r="BV12" s="8">
        <v>0</v>
      </c>
      <c r="BW12" s="8">
        <v>0</v>
      </c>
      <c r="CA12" s="58">
        <v>40118</v>
      </c>
      <c r="CB12" s="59">
        <f>BY145</f>
        <v>8268.994179725647</v>
      </c>
      <c r="CC12" s="59">
        <f t="shared" ref="CC12" si="55">BZ145</f>
        <v>6.543701171875</v>
      </c>
      <c r="CD12">
        <v>0</v>
      </c>
      <c r="CE12" s="8">
        <v>106.4</v>
      </c>
      <c r="CF12" s="8">
        <f t="shared" si="29"/>
        <v>551.27792226089377</v>
      </c>
      <c r="CG12" s="8">
        <f t="shared" si="5"/>
        <v>0</v>
      </c>
      <c r="CH12" s="58"/>
      <c r="CI12" s="17">
        <v>756.0899586891619</v>
      </c>
      <c r="CJ12" s="70">
        <v>6.9362814071118301E-2</v>
      </c>
      <c r="CK12">
        <v>9.1617775329724226E-3</v>
      </c>
      <c r="CN12">
        <v>2009</v>
      </c>
      <c r="CO12" s="11">
        <v>14.792941194422104</v>
      </c>
      <c r="CP12" s="11">
        <v>84.934117844525503</v>
      </c>
      <c r="CQ12" s="11">
        <v>6.4494118073407343</v>
      </c>
      <c r="CR12" s="11">
        <v>50.008235303093407</v>
      </c>
      <c r="CS12" s="11">
        <v>22.704705967622644</v>
      </c>
      <c r="CT12" s="11">
        <v>75.408235078699448</v>
      </c>
      <c r="CU12" s="11">
        <v>12.699999988780302</v>
      </c>
      <c r="CV12" s="11">
        <v>2.7223529394935158</v>
      </c>
      <c r="CW12" s="11">
        <v>25.967058967141543</v>
      </c>
      <c r="CX12" s="11">
        <v>26.802353039909811</v>
      </c>
      <c r="CY12" s="11">
        <v>8.3729411742266482</v>
      </c>
      <c r="CZ12" s="11">
        <v>111.62235295912799</v>
      </c>
      <c r="DA12" s="11">
        <v>442.4847062643837</v>
      </c>
      <c r="DB12" s="11">
        <f t="shared" si="6"/>
        <v>372.9588239445406</v>
      </c>
      <c r="DH12" s="38">
        <v>2009</v>
      </c>
      <c r="DI12" s="11">
        <v>16.100000001851793</v>
      </c>
      <c r="DJ12" s="11">
        <v>81.117475565197395</v>
      </c>
      <c r="DK12" s="11">
        <v>9.8456310762942412</v>
      </c>
      <c r="DL12" s="11">
        <v>43.105825090871271</v>
      </c>
      <c r="DM12" s="11">
        <v>14.943689346313477</v>
      </c>
      <c r="DN12" s="11">
        <v>75.373786185551609</v>
      </c>
      <c r="DO12" s="11">
        <v>16.214563101240731</v>
      </c>
      <c r="DP12" s="11">
        <v>4.6728155381471206</v>
      </c>
      <c r="DQ12" s="11">
        <v>31.866990246819061</v>
      </c>
      <c r="DR12" s="11">
        <v>30.250485466521919</v>
      </c>
      <c r="DS12" s="11">
        <v>11.099029152138719</v>
      </c>
      <c r="DT12" s="11">
        <v>107.73592235972581</v>
      </c>
      <c r="DU12" s="11">
        <v>442.32621313067312</v>
      </c>
      <c r="DV12" s="11">
        <f t="shared" si="7"/>
        <v>366.35728204597547</v>
      </c>
      <c r="DW12" s="56">
        <v>36100</v>
      </c>
      <c r="DX12">
        <v>1338.3923149108928</v>
      </c>
      <c r="DY12">
        <v>9.9949951171875</v>
      </c>
      <c r="DZ12" s="8">
        <v>343.70399665832502</v>
      </c>
      <c r="EA12" s="56">
        <f>DW12</f>
        <v>36100</v>
      </c>
      <c r="EB12" s="8">
        <f>SUM(DZ8:DZ16)</f>
        <v>2972.4681223630896</v>
      </c>
      <c r="EC12" s="8">
        <f>SUM(DX8:DX16)</f>
        <v>115550.12133789045</v>
      </c>
      <c r="ED12" s="8">
        <f>SUM(DY8:DY16)</f>
        <v>3627.904624223705</v>
      </c>
      <c r="EF12" s="56">
        <f>EA132</f>
        <v>39753</v>
      </c>
      <c r="EG12" s="8">
        <f t="shared" ref="EG12" si="56">EB132</f>
        <v>3049.031739234922</v>
      </c>
      <c r="EH12" s="8">
        <f t="shared" ref="EH12" si="57">EC132</f>
        <v>26137.209814943377</v>
      </c>
      <c r="EI12" s="8">
        <f t="shared" ref="EI12" si="58">ED132</f>
        <v>72.656913757324205</v>
      </c>
      <c r="EK12" s="38">
        <v>2008</v>
      </c>
      <c r="EL12" s="8">
        <v>2248.4100000000003</v>
      </c>
      <c r="EM12" s="8">
        <f t="shared" si="37"/>
        <v>3431.7232257336918</v>
      </c>
      <c r="EN12" s="8">
        <f t="shared" si="17"/>
        <v>0</v>
      </c>
      <c r="EO12" s="8">
        <f t="shared" si="38"/>
        <v>320.62146612481621</v>
      </c>
      <c r="EP12" s="8">
        <f t="shared" si="18"/>
        <v>0</v>
      </c>
      <c r="ER12" s="38">
        <v>2008</v>
      </c>
      <c r="ES12" s="8">
        <f t="shared" si="19"/>
        <v>0</v>
      </c>
      <c r="ET12" s="8">
        <f t="shared" si="20"/>
        <v>26209.866728700701</v>
      </c>
      <c r="FE12" s="56">
        <v>36100</v>
      </c>
      <c r="FF12" s="8" t="e">
        <f>DX12+#REF!+#REF!</f>
        <v>#REF!</v>
      </c>
      <c r="FG12" s="8" t="e">
        <f>#REF!+DY12+#REF!</f>
        <v>#REF!</v>
      </c>
      <c r="FH12" s="8">
        <f t="shared" si="11"/>
        <v>343.70399665832502</v>
      </c>
      <c r="FI12" s="8" t="e">
        <f>SUM(FF8:FF16)</f>
        <v>#REF!</v>
      </c>
      <c r="FJ12" s="8" t="e">
        <f>SUM(FG8:FG16)</f>
        <v>#REF!</v>
      </c>
      <c r="FK12" s="8">
        <f>SUM(FH8:FH16)</f>
        <v>2972.4681223630896</v>
      </c>
    </row>
    <row r="13" spans="1:167" x14ac:dyDescent="0.25">
      <c r="A13" s="1">
        <v>2008</v>
      </c>
      <c r="B13" s="3">
        <v>58.639072847682122</v>
      </c>
      <c r="C13" s="3">
        <v>89.990066225165563</v>
      </c>
      <c r="D13" s="3">
        <v>35.940397350993379</v>
      </c>
      <c r="E13" s="3">
        <v>1.0165562913907285</v>
      </c>
      <c r="F13" s="3">
        <v>6.814569536423841</v>
      </c>
      <c r="G13" s="3">
        <v>61.41721854304636</v>
      </c>
      <c r="H13" s="3">
        <v>10.908278138432282</v>
      </c>
      <c r="I13" s="3">
        <v>28.25066231733916</v>
      </c>
      <c r="J13" s="3">
        <v>31.707615896566026</v>
      </c>
      <c r="K13" s="3">
        <v>41.324503254416761</v>
      </c>
      <c r="L13" s="3">
        <v>96.142715529890253</v>
      </c>
      <c r="M13" s="3">
        <v>47.418543076673089</v>
      </c>
      <c r="O13" s="20">
        <f t="shared" si="21"/>
        <v>1.8042284768622443</v>
      </c>
      <c r="P13" s="11">
        <f t="shared" si="22"/>
        <v>311.88245026796858</v>
      </c>
      <c r="Q13" s="11">
        <f t="shared" si="12"/>
        <v>111.88245026796858</v>
      </c>
      <c r="AB13">
        <v>1999</v>
      </c>
      <c r="AC13">
        <v>5</v>
      </c>
      <c r="AD13" s="8">
        <v>1251.6044183373454</v>
      </c>
      <c r="AE13" s="8">
        <v>0</v>
      </c>
      <c r="AF13" s="8">
        <v>0</v>
      </c>
      <c r="AG13" s="11">
        <v>101.81</v>
      </c>
      <c r="AM13" t="s">
        <v>115</v>
      </c>
      <c r="AN13" s="8">
        <v>2388.0499999999997</v>
      </c>
      <c r="AO13" s="11">
        <f>AH143</f>
        <v>18889.898554503918</v>
      </c>
      <c r="AP13" s="11">
        <f>AI143</f>
        <v>13545.819396734234</v>
      </c>
      <c r="AQ13" s="11">
        <f t="shared" si="23"/>
        <v>111.88245026796858</v>
      </c>
      <c r="AR13" s="11">
        <f>AI138</f>
        <v>0</v>
      </c>
      <c r="AS13" s="11">
        <f>AH137</f>
        <v>0</v>
      </c>
      <c r="AT13" s="11">
        <f>AI137</f>
        <v>0</v>
      </c>
      <c r="AV13">
        <v>2409232517.889822</v>
      </c>
      <c r="AW13">
        <v>1022087791.242733</v>
      </c>
      <c r="AX13" t="e">
        <v>#N/A</v>
      </c>
      <c r="AZ13">
        <v>1813142407.2672257</v>
      </c>
      <c r="BA13">
        <v>621470405.30033028</v>
      </c>
      <c r="BB13" t="e">
        <v>#N/A</v>
      </c>
      <c r="BD13">
        <v>2009</v>
      </c>
      <c r="BE13" s="8">
        <f t="shared" si="1"/>
        <v>2388.0499999999997</v>
      </c>
      <c r="BF13" s="8">
        <f t="shared" si="2"/>
        <v>10878.723243050275</v>
      </c>
      <c r="BG13" s="8">
        <f t="shared" si="3"/>
        <v>6886.7632077367243</v>
      </c>
      <c r="BT13" s="56">
        <v>36100</v>
      </c>
      <c r="BU13" s="8">
        <v>0</v>
      </c>
      <c r="BV13" s="8">
        <v>8.3203125</v>
      </c>
      <c r="BW13" s="8">
        <v>0</v>
      </c>
      <c r="BX13" s="8"/>
      <c r="BY13" s="8"/>
      <c r="CA13" s="58">
        <v>40483</v>
      </c>
      <c r="CB13" s="59">
        <f>BY157</f>
        <v>106822.76210653766</v>
      </c>
      <c r="CC13" s="59">
        <f t="shared" ref="CC13" si="59">BZ157</f>
        <v>25319.031002044678</v>
      </c>
      <c r="CD13">
        <v>0</v>
      </c>
      <c r="CE13" s="8">
        <v>1424.5700000000002</v>
      </c>
      <c r="CF13" s="8">
        <f t="shared" si="29"/>
        <v>191.38023158276934</v>
      </c>
      <c r="CG13" s="8">
        <f t="shared" si="5"/>
        <v>1233.1897684172309</v>
      </c>
      <c r="CH13" s="58"/>
      <c r="CI13" s="70">
        <v>0.96433128886679698</v>
      </c>
      <c r="CJ13" s="8">
        <v>1112.4308754341791</v>
      </c>
      <c r="CK13" t="e">
        <v>#N/A</v>
      </c>
      <c r="CN13">
        <v>2010</v>
      </c>
      <c r="CO13" s="11">
        <v>46.262352999518896</v>
      </c>
      <c r="CP13" s="11">
        <v>129.3988239063936</v>
      </c>
      <c r="CQ13" s="11">
        <v>77.302352905273438</v>
      </c>
      <c r="CR13" s="11">
        <v>57.719999919218175</v>
      </c>
      <c r="CS13" s="11">
        <v>52.280000035903036</v>
      </c>
      <c r="CT13" s="11">
        <v>30.355294014425837</v>
      </c>
      <c r="CU13" s="11">
        <v>68.016470651065603</v>
      </c>
      <c r="CV13" s="11">
        <v>44.230588060266832</v>
      </c>
      <c r="CW13" s="11">
        <v>54.276470633114087</v>
      </c>
      <c r="CX13" s="11">
        <v>63.109411935245291</v>
      </c>
      <c r="CY13" s="11">
        <v>120.81294142779181</v>
      </c>
      <c r="CZ13" s="11">
        <v>134.35646999583525</v>
      </c>
      <c r="DA13" s="11">
        <v>878.12117648405183</v>
      </c>
      <c r="DB13" s="11">
        <f t="shared" si="6"/>
        <v>381.74352875877827</v>
      </c>
      <c r="DH13" s="38">
        <v>2010</v>
      </c>
      <c r="DI13" s="11">
        <v>29.914563114203297</v>
      </c>
      <c r="DJ13" s="11">
        <v>146.40097134784588</v>
      </c>
      <c r="DK13" s="11">
        <v>71.206796072061778</v>
      </c>
      <c r="DL13" s="11">
        <v>66.752426925214749</v>
      </c>
      <c r="DM13" s="11">
        <v>53.794174749874372</v>
      </c>
      <c r="DN13" s="11">
        <v>30.259223382449843</v>
      </c>
      <c r="DO13" s="11">
        <v>74.020388371736104</v>
      </c>
      <c r="DP13" s="11">
        <v>47.397087374937186</v>
      </c>
      <c r="DQ13" s="11">
        <v>55.95922344170728</v>
      </c>
      <c r="DR13" s="11">
        <v>66.422330060051479</v>
      </c>
      <c r="DS13" s="11">
        <v>106.23689358905681</v>
      </c>
      <c r="DT13" s="11">
        <v>133.87087390492263</v>
      </c>
      <c r="DU13" s="11">
        <v>882.2349523340614</v>
      </c>
      <c r="DV13" s="11">
        <f t="shared" si="7"/>
        <v>349.89126262849976</v>
      </c>
      <c r="DW13" s="56">
        <v>36130</v>
      </c>
      <c r="DX13">
        <v>29994.4831428527</v>
      </c>
      <c r="DY13">
        <v>0</v>
      </c>
      <c r="DZ13" s="8">
        <v>1201.1157951354976</v>
      </c>
      <c r="EF13" s="56">
        <f>EA144</f>
        <v>40118</v>
      </c>
      <c r="EG13" s="8">
        <f t="shared" ref="EG13" si="60">EB144</f>
        <v>3049.0338791608792</v>
      </c>
      <c r="EH13" s="8">
        <f t="shared" ref="EH13" si="61">EC144</f>
        <v>8082.1496472060689</v>
      </c>
      <c r="EI13" s="8">
        <f t="shared" ref="EI13" si="62">ED144</f>
        <v>4014.4633746147201</v>
      </c>
      <c r="EK13" s="38">
        <v>2009</v>
      </c>
      <c r="EL13" s="8">
        <v>3363.1699999999996</v>
      </c>
      <c r="EM13" s="8">
        <f t="shared" si="37"/>
        <v>3500.7921761157031</v>
      </c>
      <c r="EN13" s="8">
        <f t="shared" si="17"/>
        <v>0</v>
      </c>
      <c r="EO13" s="8">
        <f t="shared" si="38"/>
        <v>382.66602344145463</v>
      </c>
      <c r="EP13" s="8">
        <f t="shared" si="18"/>
        <v>0</v>
      </c>
      <c r="ER13" s="38">
        <v>2009</v>
      </c>
      <c r="ES13" s="8">
        <f t="shared" si="19"/>
        <v>0</v>
      </c>
      <c r="ET13" s="8">
        <f t="shared" si="20"/>
        <v>12096.613021820789</v>
      </c>
      <c r="FE13" s="56">
        <v>36130</v>
      </c>
      <c r="FF13" s="8" t="e">
        <f>DX13+#REF!+#REF!</f>
        <v>#REF!</v>
      </c>
      <c r="FG13" s="8" t="e">
        <f>#REF!+DY13+#REF!</f>
        <v>#REF!</v>
      </c>
      <c r="FH13" s="8">
        <f t="shared" si="11"/>
        <v>1201.1157951354976</v>
      </c>
    </row>
    <row r="14" spans="1:167" x14ac:dyDescent="0.25">
      <c r="A14" s="1">
        <v>2009</v>
      </c>
      <c r="B14" s="3">
        <v>20.446357594420579</v>
      </c>
      <c r="C14" s="3">
        <v>106.55033081256791</v>
      </c>
      <c r="D14" s="3">
        <v>6.0509933683256438</v>
      </c>
      <c r="E14" s="3">
        <v>48.980463583737809</v>
      </c>
      <c r="F14" s="3">
        <v>54.212913936337095</v>
      </c>
      <c r="G14" s="3">
        <v>69.186754870888407</v>
      </c>
      <c r="H14" s="3">
        <v>11.347682125521022</v>
      </c>
      <c r="I14" s="3">
        <v>1.1251655685289805</v>
      </c>
      <c r="J14" s="3">
        <v>25.174503376941807</v>
      </c>
      <c r="K14" s="3">
        <v>44.601986765072049</v>
      </c>
      <c r="L14" s="3">
        <v>4.9609271580020327</v>
      </c>
      <c r="M14" s="3">
        <v>115.45231782521633</v>
      </c>
      <c r="O14" s="20">
        <f t="shared" si="21"/>
        <v>2.0564900664328936</v>
      </c>
      <c r="P14" s="11">
        <f t="shared" si="22"/>
        <v>378.36821224200014</v>
      </c>
      <c r="Q14" s="11">
        <f t="shared" si="12"/>
        <v>178.36821224200014</v>
      </c>
      <c r="AB14">
        <v>1999</v>
      </c>
      <c r="AC14">
        <v>6</v>
      </c>
      <c r="AD14" s="8">
        <v>182.10188090801228</v>
      </c>
      <c r="AE14" s="8">
        <v>0</v>
      </c>
      <c r="AF14" s="8">
        <v>0</v>
      </c>
      <c r="AG14" s="11">
        <v>101.81</v>
      </c>
      <c r="AM14" t="s">
        <v>116</v>
      </c>
      <c r="AN14" s="8">
        <v>7632.76</v>
      </c>
      <c r="AO14" s="11">
        <f>AH155</f>
        <v>239248.15699941292</v>
      </c>
      <c r="AP14" s="11">
        <f>AI155</f>
        <v>28409.999975323681</v>
      </c>
      <c r="AQ14" s="11">
        <f t="shared" si="23"/>
        <v>178.36821224200014</v>
      </c>
      <c r="AR14" s="11">
        <f>AI150</f>
        <v>0</v>
      </c>
      <c r="AS14" s="11">
        <f>AH149</f>
        <v>0</v>
      </c>
      <c r="AT14" s="11">
        <f>AI149</f>
        <v>0</v>
      </c>
      <c r="BD14">
        <v>2010</v>
      </c>
      <c r="BE14" s="8">
        <f t="shared" si="1"/>
        <v>7632.76</v>
      </c>
      <c r="BF14" s="8">
        <f t="shared" si="2"/>
        <v>34904.432271448903</v>
      </c>
      <c r="BG14" s="8">
        <f t="shared" si="3"/>
        <v>27017.233143058453</v>
      </c>
      <c r="BT14" s="56">
        <v>36130</v>
      </c>
      <c r="BU14" s="8">
        <v>16396.560211181677</v>
      </c>
      <c r="BV14" s="8">
        <v>0</v>
      </c>
      <c r="BW14" s="8">
        <v>0</v>
      </c>
      <c r="CA14" s="58">
        <v>40848</v>
      </c>
      <c r="CB14" s="59">
        <f>BY169</f>
        <v>71888.567722320498</v>
      </c>
      <c r="CC14" s="59">
        <f t="shared" ref="CC14" si="63">BZ169</f>
        <v>0</v>
      </c>
      <c r="CD14">
        <v>0</v>
      </c>
      <c r="CE14" s="8">
        <v>8808.4</v>
      </c>
      <c r="CF14" s="8">
        <f t="shared" si="29"/>
        <v>304.99758163337799</v>
      </c>
      <c r="CG14" s="8">
        <f t="shared" si="5"/>
        <v>8503.4024183666224</v>
      </c>
      <c r="CH14" s="58"/>
      <c r="CI14" s="8">
        <v>72.095403000166414</v>
      </c>
      <c r="CJ14" s="8">
        <v>8</v>
      </c>
      <c r="CK14" t="e">
        <v>#N/A</v>
      </c>
      <c r="CN14">
        <v>2011</v>
      </c>
      <c r="CO14" s="11">
        <v>29.403529324251064</v>
      </c>
      <c r="CP14" s="11">
        <v>62.74588228113511</v>
      </c>
      <c r="CQ14" s="11">
        <v>34.424705729765051</v>
      </c>
      <c r="CR14" s="11">
        <v>31.377646951114428</v>
      </c>
      <c r="CS14" s="11">
        <v>46.55764725629021</v>
      </c>
      <c r="CT14" s="11">
        <v>9.614117650424733</v>
      </c>
      <c r="CU14" s="11">
        <v>6.0835294330821315</v>
      </c>
      <c r="CV14" s="11">
        <v>34.483529438691981</v>
      </c>
      <c r="CW14" s="11">
        <v>60.863529025807097</v>
      </c>
      <c r="CX14" s="11">
        <v>73.179999946145443</v>
      </c>
      <c r="CY14" s="11">
        <v>94.561176703957955</v>
      </c>
      <c r="CZ14" s="11">
        <v>75.590588378906247</v>
      </c>
      <c r="DA14" s="11">
        <v>558.88588211957142</v>
      </c>
      <c r="DB14" s="11">
        <f t="shared" si="6"/>
        <v>466.10588257733514</v>
      </c>
      <c r="DH14" s="38">
        <v>2011</v>
      </c>
      <c r="DI14" s="11">
        <v>20.600970907118715</v>
      </c>
      <c r="DJ14" s="11">
        <v>61.141747483929386</v>
      </c>
      <c r="DK14" s="11">
        <v>28.0407767434722</v>
      </c>
      <c r="DL14" s="11">
        <v>35.198058156133854</v>
      </c>
      <c r="DM14" s="11">
        <v>50.624271874288908</v>
      </c>
      <c r="DN14" s="11">
        <v>10.742718465119889</v>
      </c>
      <c r="DO14" s="11">
        <v>6.6776699279118512</v>
      </c>
      <c r="DP14" s="11">
        <v>39.214562999392015</v>
      </c>
      <c r="DQ14" s="11">
        <v>51.889320429088997</v>
      </c>
      <c r="DR14" s="11">
        <v>65.233009597630172</v>
      </c>
      <c r="DS14" s="11">
        <v>99.264077936561364</v>
      </c>
      <c r="DT14" s="11">
        <v>66.469903038543407</v>
      </c>
      <c r="DU14" s="11">
        <v>535.09708755919087</v>
      </c>
      <c r="DV14" s="11">
        <f t="shared" si="7"/>
        <v>466.83301099758705</v>
      </c>
      <c r="DW14" s="56">
        <v>36161</v>
      </c>
      <c r="DX14">
        <v>35143.412353515538</v>
      </c>
      <c r="DY14">
        <v>0</v>
      </c>
      <c r="DZ14" s="8">
        <v>1318.437327384948</v>
      </c>
      <c r="EF14" s="56">
        <f>EA156</f>
        <v>40483</v>
      </c>
      <c r="EG14" s="8">
        <f t="shared" ref="EG14" si="64">EB156</f>
        <v>3961.8704681992513</v>
      </c>
      <c r="EH14" s="8">
        <f t="shared" ref="EH14" si="65">EC156</f>
        <v>110379.55266344546</v>
      </c>
      <c r="EI14" s="8">
        <f t="shared" ref="EI14" si="66">ED156</f>
        <v>4044.999927520752</v>
      </c>
      <c r="EK14" s="38">
        <v>2010</v>
      </c>
      <c r="EL14" s="8">
        <v>6049.6900000000005</v>
      </c>
      <c r="EM14" s="8">
        <f t="shared" si="37"/>
        <v>1186.1744699609496</v>
      </c>
      <c r="EN14" s="8">
        <f t="shared" si="17"/>
        <v>4863.5155300390506</v>
      </c>
      <c r="EO14" s="8">
        <f t="shared" si="38"/>
        <v>487.16320967419455</v>
      </c>
      <c r="EP14" s="8">
        <f t="shared" si="18"/>
        <v>4376.3523203648565</v>
      </c>
      <c r="ER14" s="38">
        <v>2010</v>
      </c>
      <c r="ES14" s="8">
        <f t="shared" si="19"/>
        <v>4376.3523203648565</v>
      </c>
      <c r="ET14" s="8">
        <f t="shared" si="20"/>
        <v>114424.55259096621</v>
      </c>
      <c r="FE14" s="56">
        <v>36161</v>
      </c>
      <c r="FF14" s="8" t="e">
        <f>DX14+#REF!+#REF!</f>
        <v>#REF!</v>
      </c>
      <c r="FG14" s="8" t="e">
        <f>#REF!+DY14+#REF!</f>
        <v>#REF!</v>
      </c>
      <c r="FH14" s="8">
        <f t="shared" si="11"/>
        <v>1318.437327384948</v>
      </c>
    </row>
    <row r="15" spans="1:167" x14ac:dyDescent="0.25">
      <c r="A15" s="1">
        <v>2010</v>
      </c>
      <c r="B15" s="3">
        <v>80.876821139000896</v>
      </c>
      <c r="C15" s="3">
        <v>132.47615935470884</v>
      </c>
      <c r="D15" s="3">
        <v>92.350662231445313</v>
      </c>
      <c r="E15" s="3">
        <v>44.522185432989865</v>
      </c>
      <c r="F15" s="3">
        <v>32.321854231373365</v>
      </c>
      <c r="G15" s="3">
        <v>27.88443708735586</v>
      </c>
      <c r="H15" s="3">
        <v>67.044039757835947</v>
      </c>
      <c r="I15" s="3">
        <v>44.358940452929367</v>
      </c>
      <c r="J15" s="3">
        <v>50.328807906599238</v>
      </c>
      <c r="K15" s="3">
        <v>59.06986755724774</v>
      </c>
      <c r="L15" s="3">
        <v>164.05397362109051</v>
      </c>
      <c r="M15" s="3">
        <v>149.73841072234097</v>
      </c>
      <c r="O15" s="20">
        <f t="shared" si="21"/>
        <v>2.8100794699334153</v>
      </c>
      <c r="P15" s="11">
        <f t="shared" si="22"/>
        <v>433.36125849414344</v>
      </c>
      <c r="Q15" s="11">
        <f t="shared" si="12"/>
        <v>233.36125849414344</v>
      </c>
      <c r="AB15">
        <v>1999</v>
      </c>
      <c r="AC15">
        <v>7</v>
      </c>
      <c r="AD15" s="8">
        <v>55.244912147521916</v>
      </c>
      <c r="AE15" s="8">
        <v>0</v>
      </c>
      <c r="AF15" s="8">
        <v>0</v>
      </c>
      <c r="AG15" s="11">
        <v>46.588000000000001</v>
      </c>
      <c r="AM15" t="s">
        <v>117</v>
      </c>
      <c r="AN15" s="8">
        <v>21502</v>
      </c>
      <c r="AO15" s="11">
        <f>AH167</f>
        <v>140681.00045304373</v>
      </c>
      <c r="AP15" s="11">
        <f>AI167</f>
        <v>26056.56873244049</v>
      </c>
      <c r="AQ15" s="11">
        <f t="shared" si="23"/>
        <v>233.36125849414344</v>
      </c>
      <c r="AR15" s="11">
        <f>AI162</f>
        <v>0</v>
      </c>
      <c r="AS15" s="11">
        <f>AH161</f>
        <v>0</v>
      </c>
      <c r="AT15" s="11">
        <f>AI161</f>
        <v>0</v>
      </c>
      <c r="AV15">
        <f t="array" ref="AV15:AX19">LINEST(AN7:AN16,AO7:AP16,0,1)</f>
        <v>0.27345157734762526</v>
      </c>
      <c r="AW15">
        <v>4.0995364672827217E-2</v>
      </c>
      <c r="AX15">
        <v>0</v>
      </c>
      <c r="AZ15">
        <f t="array" ref="AZ15:BB19">LINEST(AN3:AN12,AS3:AT12,0,1)</f>
        <v>0</v>
      </c>
      <c r="BA15">
        <v>0</v>
      </c>
      <c r="BB15">
        <v>0</v>
      </c>
      <c r="BD15">
        <v>2011</v>
      </c>
      <c r="BE15" s="8">
        <f t="shared" si="1"/>
        <v>21502</v>
      </c>
      <c r="BF15" s="8">
        <f t="shared" si="2"/>
        <v>27244.563715372587</v>
      </c>
      <c r="BG15" s="8">
        <f t="shared" si="3"/>
        <v>19819.311030248919</v>
      </c>
      <c r="BT15" s="56">
        <v>36161</v>
      </c>
      <c r="BU15" s="8">
        <v>36278.644241332906</v>
      </c>
      <c r="BV15" s="8">
        <v>132.7571573257448</v>
      </c>
      <c r="BW15" s="8">
        <v>0</v>
      </c>
      <c r="CA15" s="58">
        <v>41214</v>
      </c>
      <c r="CB15" s="59">
        <f>BY181</f>
        <v>136150.70012855524</v>
      </c>
      <c r="CC15" s="59">
        <f t="shared" ref="CC15" si="67">BZ181</f>
        <v>23997.139553070068</v>
      </c>
      <c r="CD15">
        <v>0</v>
      </c>
      <c r="CE15" s="8">
        <v>7709.3</v>
      </c>
      <c r="CF15" s="8">
        <f t="shared" si="29"/>
        <v>415.96581579322054</v>
      </c>
      <c r="CG15" s="8">
        <f t="shared" si="5"/>
        <v>7293.3341842067794</v>
      </c>
      <c r="CH15" s="58"/>
      <c r="CI15" s="8">
        <v>267654714.10583842</v>
      </c>
      <c r="CJ15" s="8">
        <v>9900019.620954033</v>
      </c>
      <c r="CK15" t="e">
        <v>#N/A</v>
      </c>
      <c r="CN15">
        <v>2012</v>
      </c>
      <c r="CO15" s="11">
        <v>72.888235338996438</v>
      </c>
      <c r="CP15" s="11">
        <v>89.125882317038148</v>
      </c>
      <c r="CQ15" s="11">
        <v>133.93999983843636</v>
      </c>
      <c r="CR15" s="11">
        <v>3.3682353086331309</v>
      </c>
      <c r="CS15" s="11">
        <v>41.145882370892693</v>
      </c>
      <c r="CT15" s="11">
        <v>31.023529366885914</v>
      </c>
      <c r="CU15" s="11">
        <v>38.894117602180032</v>
      </c>
      <c r="CV15" s="11">
        <v>2.7258823443861568</v>
      </c>
      <c r="CW15" s="11">
        <v>23.87058828017291</v>
      </c>
      <c r="CX15" s="11">
        <v>5.8811764268314137</v>
      </c>
      <c r="CY15" s="11">
        <v>33.727058612599095</v>
      </c>
      <c r="CZ15" s="11">
        <v>9.2094117613399735</v>
      </c>
      <c r="DA15" s="11">
        <v>485.79999956839225</v>
      </c>
      <c r="DB15" s="11">
        <f t="shared" si="6"/>
        <v>142.7811760229223</v>
      </c>
      <c r="DH15" s="38">
        <v>2012</v>
      </c>
      <c r="DI15" s="11">
        <v>71.594175283191277</v>
      </c>
      <c r="DJ15" s="11">
        <v>92.027184495648129</v>
      </c>
      <c r="DK15" s="11">
        <v>137.47767024364288</v>
      </c>
      <c r="DL15" s="11">
        <v>3.9466019313312271</v>
      </c>
      <c r="DM15" s="11">
        <v>47.770873801222123</v>
      </c>
      <c r="DN15" s="11">
        <v>33.139805617841702</v>
      </c>
      <c r="DO15" s="11">
        <v>41.07475725192468</v>
      </c>
      <c r="DP15" s="11">
        <v>3.2262135732521133</v>
      </c>
      <c r="DQ15" s="11">
        <v>27.500970877489998</v>
      </c>
      <c r="DR15" s="11">
        <v>7.2485437161714126</v>
      </c>
      <c r="DS15" s="11">
        <v>36.956310735165495</v>
      </c>
      <c r="DT15" s="11">
        <v>8.5106796477604831</v>
      </c>
      <c r="DU15" s="11">
        <v>510.47378717464147</v>
      </c>
      <c r="DV15" s="11">
        <f t="shared" si="7"/>
        <v>175.41941766368532</v>
      </c>
      <c r="DW15" s="56">
        <v>36192</v>
      </c>
      <c r="DX15">
        <v>33965.289656639092</v>
      </c>
      <c r="DY15">
        <v>0</v>
      </c>
      <c r="DZ15" s="8">
        <v>0.83592605590820301</v>
      </c>
      <c r="EF15" s="56">
        <f>EA168</f>
        <v>40848</v>
      </c>
      <c r="EG15" s="8">
        <f t="shared" ref="EG15" si="68">EB168</f>
        <v>4655.0262368917447</v>
      </c>
      <c r="EH15" s="8">
        <f t="shared" ref="EH15" si="69">EC168</f>
        <v>50162.686703801155</v>
      </c>
      <c r="EI15" s="8">
        <f t="shared" ref="EI15" si="70">ED168</f>
        <v>4045.0005648136116</v>
      </c>
      <c r="EK15" s="38">
        <v>2011</v>
      </c>
      <c r="EL15" s="8">
        <v>11142.88</v>
      </c>
      <c r="EM15" s="8">
        <f t="shared" si="37"/>
        <v>1983.0456487113588</v>
      </c>
      <c r="EN15" s="8">
        <f t="shared" si="17"/>
        <v>9159.8343512886404</v>
      </c>
      <c r="EO15" s="8">
        <f t="shared" si="38"/>
        <v>668.52643616326895</v>
      </c>
      <c r="EP15" s="8">
        <f t="shared" si="18"/>
        <v>8491.3079151253714</v>
      </c>
      <c r="ER15" s="38">
        <v>2011</v>
      </c>
      <c r="ES15" s="8">
        <f t="shared" si="19"/>
        <v>8491.3079151253714</v>
      </c>
      <c r="ET15" s="8">
        <f t="shared" si="20"/>
        <v>54207.687268614769</v>
      </c>
      <c r="FE15" s="56">
        <v>36192</v>
      </c>
      <c r="FF15" s="8" t="e">
        <f>DX15+#REF!+#REF!</f>
        <v>#REF!</v>
      </c>
      <c r="FG15" s="8" t="e">
        <f>#REF!+DY15+#REF!</f>
        <v>#REF!</v>
      </c>
      <c r="FH15" s="8">
        <f t="shared" si="11"/>
        <v>0.83592605590820301</v>
      </c>
    </row>
    <row r="16" spans="1:167" x14ac:dyDescent="0.25">
      <c r="A16" s="1">
        <v>2011</v>
      </c>
      <c r="B16" s="3">
        <v>21.622516518397045</v>
      </c>
      <c r="C16" s="3">
        <v>38.876490075067181</v>
      </c>
      <c r="D16" s="3">
        <v>38.177814584694161</v>
      </c>
      <c r="E16" s="3">
        <v>16.028807937704176</v>
      </c>
      <c r="F16" s="3">
        <v>38.998013319558652</v>
      </c>
      <c r="G16" s="3">
        <v>11.224503300047868</v>
      </c>
      <c r="H16" s="3">
        <v>9.2231788335257026</v>
      </c>
      <c r="I16" s="3">
        <v>26.162582776404374</v>
      </c>
      <c r="J16" s="3">
        <v>64.581126029917741</v>
      </c>
      <c r="K16" s="3">
        <v>50.341390843423</v>
      </c>
      <c r="L16" s="3">
        <v>78.990397497518174</v>
      </c>
      <c r="M16" s="3">
        <v>91.757615626253042</v>
      </c>
      <c r="O16" s="20">
        <f t="shared" si="21"/>
        <v>2.0053079510287732</v>
      </c>
      <c r="P16" s="11">
        <f t="shared" si="22"/>
        <v>418.33211888066978</v>
      </c>
      <c r="Q16" s="11">
        <f t="shared" si="12"/>
        <v>218.33211888066978</v>
      </c>
      <c r="AB16">
        <v>1999</v>
      </c>
      <c r="AC16">
        <v>8</v>
      </c>
      <c r="AD16" s="8">
        <v>100.62220531702043</v>
      </c>
      <c r="AE16" s="8">
        <v>200.00000762939453</v>
      </c>
      <c r="AF16" s="8">
        <v>0</v>
      </c>
      <c r="AG16" s="11">
        <v>47.588000000000001</v>
      </c>
      <c r="AM16" t="s">
        <v>118</v>
      </c>
      <c r="AN16" s="8">
        <v>21688.929999999993</v>
      </c>
      <c r="AO16" s="11">
        <f>AH179</f>
        <v>274626.00134743698</v>
      </c>
      <c r="AP16" s="11">
        <f>AI179</f>
        <v>14112.846273761234</v>
      </c>
      <c r="AQ16" s="11">
        <f t="shared" si="23"/>
        <v>218.33211888066978</v>
      </c>
      <c r="AR16" s="11">
        <f>AI163</f>
        <v>0</v>
      </c>
      <c r="AS16" s="11">
        <f>AH162</f>
        <v>0</v>
      </c>
      <c r="AT16" s="11">
        <f>AI162</f>
        <v>0</v>
      </c>
      <c r="AV16">
        <v>0.19335518984188135</v>
      </c>
      <c r="AW16">
        <v>1.8464428538725486E-2</v>
      </c>
      <c r="AX16" t="e">
        <v>#N/A</v>
      </c>
      <c r="AZ16">
        <v>0</v>
      </c>
      <c r="BA16">
        <v>0</v>
      </c>
      <c r="BB16" t="e">
        <v>#N/A</v>
      </c>
      <c r="BD16">
        <v>2012</v>
      </c>
      <c r="BE16" s="8">
        <f t="shared" si="1"/>
        <v>21688.929999999993</v>
      </c>
      <c r="BF16" s="8">
        <f t="shared" si="2"/>
        <v>26771.831265537519</v>
      </c>
      <c r="BG16" s="8">
        <f t="shared" si="3"/>
        <v>23232.466794150245</v>
      </c>
      <c r="BT16" s="56">
        <v>36192</v>
      </c>
      <c r="BU16" s="8">
        <v>36412.844596862706</v>
      </c>
      <c r="BV16" s="8">
        <v>0</v>
      </c>
      <c r="BW16" s="8">
        <v>0</v>
      </c>
      <c r="CD16" s="8"/>
      <c r="CN16">
        <v>2013</v>
      </c>
      <c r="CO16" s="11">
        <v>19.62941173104679</v>
      </c>
      <c r="CP16" s="11">
        <v>21.170588224074418</v>
      </c>
      <c r="CQ16" s="11">
        <v>59.044705693862021</v>
      </c>
      <c r="CR16" s="11">
        <v>0.91647060373250178</v>
      </c>
      <c r="CS16" s="11">
        <v>19.888235316557044</v>
      </c>
      <c r="CT16" s="11">
        <v>113.60117681166705</v>
      </c>
      <c r="CU16" s="11">
        <v>26.931764647539925</v>
      </c>
      <c r="CV16" s="11">
        <v>6.9329411955440747</v>
      </c>
      <c r="CW16" s="11">
        <v>49.907058985093059</v>
      </c>
      <c r="CX16" s="11">
        <v>3.5752941440133488</v>
      </c>
      <c r="CY16" s="11">
        <v>6.9682353107368247</v>
      </c>
      <c r="CZ16" s="11">
        <v>35.257647076775044</v>
      </c>
      <c r="DA16" s="11">
        <v>363.82352974064202</v>
      </c>
      <c r="DB16" s="11">
        <f t="shared" si="6"/>
        <v>248.32352939248085</v>
      </c>
      <c r="DH16" s="38">
        <v>2013</v>
      </c>
      <c r="DI16" s="11">
        <v>25.047572774794496</v>
      </c>
      <c r="DJ16" s="11">
        <v>33.682524282955427</v>
      </c>
      <c r="DK16" s="11">
        <v>71.222330223009422</v>
      </c>
      <c r="DL16" s="11">
        <v>3.3990291400441848</v>
      </c>
      <c r="DM16" s="11">
        <v>20.297087326790521</v>
      </c>
      <c r="DN16" s="11">
        <v>110.57184511943929</v>
      </c>
      <c r="DO16" s="11">
        <v>32.547572774794496</v>
      </c>
      <c r="DP16" s="11">
        <v>5.640776731435535</v>
      </c>
      <c r="DQ16" s="11">
        <v>50.081553338800816</v>
      </c>
      <c r="DR16" s="11">
        <v>5.2019417031297408</v>
      </c>
      <c r="DS16" s="11">
        <v>9.7446601946377065</v>
      </c>
      <c r="DT16" s="11">
        <v>37.057281568212417</v>
      </c>
      <c r="DU16" s="11">
        <v>404.49417517804409</v>
      </c>
      <c r="DV16" s="11">
        <f t="shared" si="7"/>
        <v>272.90582530243887</v>
      </c>
      <c r="DW16" s="56">
        <v>36220</v>
      </c>
      <c r="DX16">
        <v>14449.537083625793</v>
      </c>
      <c r="DY16">
        <v>57.781669616699197</v>
      </c>
      <c r="DZ16" s="8">
        <v>0</v>
      </c>
      <c r="EF16" s="56">
        <f>EA180</f>
        <v>41214</v>
      </c>
      <c r="EG16" s="8">
        <f t="shared" ref="EG16" si="71">EB180</f>
        <v>2896.5433349609366</v>
      </c>
      <c r="EH16" s="8">
        <f t="shared" ref="EH16" si="72">EC180</f>
        <v>123597.51298454398</v>
      </c>
      <c r="EI16" s="8">
        <f t="shared" ref="EI16" si="73">ED180</f>
        <v>2027.2375297546362</v>
      </c>
      <c r="EK16" s="38">
        <v>2012</v>
      </c>
      <c r="EL16" s="8">
        <v>10352.050000000001</v>
      </c>
      <c r="EM16" s="8">
        <f t="shared" si="37"/>
        <v>2817.763080971049</v>
      </c>
      <c r="EN16" s="8">
        <f t="shared" si="17"/>
        <v>7534.2869190289521</v>
      </c>
      <c r="EO16" s="8">
        <f t="shared" si="38"/>
        <v>293.2540086734038</v>
      </c>
      <c r="EP16" s="8">
        <f t="shared" si="18"/>
        <v>7241.0329103555487</v>
      </c>
      <c r="ER16" s="38">
        <v>2012</v>
      </c>
      <c r="ES16" s="8">
        <f t="shared" si="19"/>
        <v>7241.0329103555487</v>
      </c>
      <c r="ET16" s="8">
        <f t="shared" si="20"/>
        <v>125624.75051429862</v>
      </c>
      <c r="FE16" s="56">
        <v>36220</v>
      </c>
      <c r="FF16" s="8" t="e">
        <f>DX16+#REF!+#REF!</f>
        <v>#REF!</v>
      </c>
      <c r="FG16" s="8" t="e">
        <f>#REF!+DY16+#REF!</f>
        <v>#REF!</v>
      </c>
      <c r="FH16" s="8">
        <f t="shared" si="11"/>
        <v>0</v>
      </c>
    </row>
    <row r="17" spans="1:167" x14ac:dyDescent="0.25">
      <c r="A17" s="1">
        <v>2012</v>
      </c>
      <c r="B17" s="3">
        <v>100.59768196762792</v>
      </c>
      <c r="C17" s="3">
        <v>96.645032945847674</v>
      </c>
      <c r="D17" s="3">
        <v>130.37185421368935</v>
      </c>
      <c r="E17" s="3">
        <v>2.5003311389329417</v>
      </c>
      <c r="F17" s="3">
        <v>36.105960302795005</v>
      </c>
      <c r="G17" s="3">
        <v>25.444702003175848</v>
      </c>
      <c r="H17" s="3">
        <v>36.387417174332981</v>
      </c>
      <c r="I17" s="3">
        <v>1.6943708567429852</v>
      </c>
      <c r="J17" s="3">
        <v>21.438741775537959</v>
      </c>
      <c r="K17" s="3">
        <v>5.1552980143502847</v>
      </c>
      <c r="L17" s="3">
        <v>27.691721808831424</v>
      </c>
      <c r="M17" s="3">
        <v>12.165894031524658</v>
      </c>
      <c r="O17" s="20">
        <f t="shared" si="21"/>
        <v>1.2622649012693505</v>
      </c>
      <c r="P17" s="11">
        <f t="shared" si="22"/>
        <v>90.090728342138377</v>
      </c>
      <c r="Q17" s="11">
        <f t="shared" si="12"/>
        <v>-109.90927165786162</v>
      </c>
      <c r="AB17">
        <v>1999</v>
      </c>
      <c r="AC17">
        <v>9</v>
      </c>
      <c r="AD17" s="8">
        <v>48.112879723310442</v>
      </c>
      <c r="AE17" s="8">
        <v>0</v>
      </c>
      <c r="AF17" s="8">
        <v>0</v>
      </c>
      <c r="AG17" s="11">
        <v>47.587000000000003</v>
      </c>
      <c r="AH17" s="11"/>
      <c r="AI17" s="11"/>
      <c r="AM17" t="s">
        <v>124</v>
      </c>
      <c r="AN17" s="8">
        <v>14877.929999999997</v>
      </c>
      <c r="AV17">
        <v>0.79857075348561102</v>
      </c>
      <c r="AW17">
        <v>5459.1187448234996</v>
      </c>
      <c r="AX17" t="e">
        <v>#N/A</v>
      </c>
      <c r="AZ17">
        <v>0.58333114323668078</v>
      </c>
      <c r="BA17">
        <v>13228.370875334154</v>
      </c>
      <c r="BB17" t="e">
        <v>#N/A</v>
      </c>
      <c r="BT17" s="56">
        <v>36220</v>
      </c>
      <c r="BU17" s="8">
        <v>17620.851215362549</v>
      </c>
      <c r="BV17" s="8">
        <v>590.05023860931385</v>
      </c>
      <c r="BW17" s="8">
        <v>0</v>
      </c>
      <c r="CB17" t="s">
        <v>310</v>
      </c>
      <c r="CC17" t="str">
        <f>CB1</f>
        <v>GS on-alloc</v>
      </c>
      <c r="CD17" t="s">
        <v>483</v>
      </c>
      <c r="CE17" t="s">
        <v>484</v>
      </c>
      <c r="CF17" t="s">
        <v>469</v>
      </c>
      <c r="CI17" t="s">
        <v>310</v>
      </c>
      <c r="CJ17" t="str">
        <f>CG1</f>
        <v>SW Ha est</v>
      </c>
      <c r="CK17" t="s">
        <v>349</v>
      </c>
      <c r="CL17" t="s">
        <v>471</v>
      </c>
      <c r="CN17">
        <v>2014</v>
      </c>
      <c r="CO17" s="11">
        <v>39.749411773681643</v>
      </c>
      <c r="CP17" s="11">
        <v>63.869411558263444</v>
      </c>
      <c r="CQ17" s="11">
        <v>102.4788236730239</v>
      </c>
      <c r="CR17" s="11">
        <v>37.388235316557044</v>
      </c>
      <c r="CS17" s="11">
        <v>24.171764665491441</v>
      </c>
      <c r="CT17" s="11">
        <v>57.822353004006779</v>
      </c>
      <c r="CU17" s="11">
        <v>28.121176416733686</v>
      </c>
      <c r="CV17" s="11">
        <v>25.22823537938735</v>
      </c>
      <c r="CW17" s="11">
        <v>10.852941131591797</v>
      </c>
      <c r="CX17" s="11">
        <v>3.90235293507576</v>
      </c>
      <c r="CY17" s="11">
        <v>10.641176459368538</v>
      </c>
      <c r="CZ17" s="11">
        <v>79.572941275203931</v>
      </c>
      <c r="DA17" s="11">
        <v>483.7988235883854</v>
      </c>
      <c r="DB17" s="11">
        <f t="shared" si="6"/>
        <v>189.07764680105097</v>
      </c>
      <c r="DH17" s="38">
        <v>2014</v>
      </c>
      <c r="DI17" s="11">
        <v>45.279611754185943</v>
      </c>
      <c r="DJ17" s="11">
        <v>56.345630979075018</v>
      </c>
      <c r="DK17" s="11">
        <v>124.47864080632775</v>
      </c>
      <c r="DL17" s="11">
        <v>46.564077506944969</v>
      </c>
      <c r="DM17" s="11">
        <v>22.30097085526846</v>
      </c>
      <c r="DN17" s="11">
        <v>55.818446520462778</v>
      </c>
      <c r="DO17" s="11">
        <v>28.388349514563107</v>
      </c>
      <c r="DP17" s="11">
        <v>22.015533910214323</v>
      </c>
      <c r="DQ17" s="11">
        <v>13.400970875638203</v>
      </c>
      <c r="DR17" s="11">
        <v>8.4271844590751872</v>
      </c>
      <c r="DS17" s="11">
        <v>9.9126213777412495</v>
      </c>
      <c r="DT17" s="11">
        <v>78.44951488902268</v>
      </c>
      <c r="DU17" s="11">
        <v>511.3815534485197</v>
      </c>
      <c r="DV17" s="11">
        <f t="shared" si="7"/>
        <v>210.80388385809741</v>
      </c>
      <c r="DW17" s="56">
        <v>36251</v>
      </c>
      <c r="DX17">
        <v>7588.9340324401855</v>
      </c>
      <c r="DY17">
        <v>392.09527587890602</v>
      </c>
      <c r="DZ17" s="8">
        <v>0</v>
      </c>
      <c r="EG17" t="s">
        <v>333</v>
      </c>
      <c r="EH17" s="8">
        <f>SUM(EH3:EH16)</f>
        <v>777205.13170935377</v>
      </c>
      <c r="EI17" s="8">
        <f>SUM(EI3:EI16)</f>
        <v>27089.561336576935</v>
      </c>
      <c r="EK17" s="38"/>
      <c r="EL17" s="8"/>
      <c r="EM17" s="8"/>
      <c r="EN17" s="8" t="s">
        <v>272</v>
      </c>
      <c r="EO17" t="s">
        <v>271</v>
      </c>
      <c r="FE17" s="56">
        <v>36251</v>
      </c>
      <c r="FF17" s="8" t="e">
        <f>DX17+#REF!+#REF!</f>
        <v>#REF!</v>
      </c>
      <c r="FG17" s="8" t="e">
        <f>#REF!+DY17+#REF!</f>
        <v>#REF!</v>
      </c>
      <c r="FH17" s="8">
        <f t="shared" si="11"/>
        <v>0</v>
      </c>
    </row>
    <row r="18" spans="1:167" x14ac:dyDescent="0.25">
      <c r="A18" s="1">
        <v>2013</v>
      </c>
      <c r="B18" s="3">
        <v>30.087086047557804</v>
      </c>
      <c r="C18" s="3">
        <v>14.990728439874207</v>
      </c>
      <c r="D18" s="3">
        <v>65.703642434631746</v>
      </c>
      <c r="E18" s="3">
        <v>0.69701987277987776</v>
      </c>
      <c r="F18" s="3">
        <v>18.565231831657965</v>
      </c>
      <c r="G18" s="3">
        <v>105.57251649818673</v>
      </c>
      <c r="H18" s="3">
        <v>27.491721866936082</v>
      </c>
      <c r="I18" s="3">
        <v>3.5572847585804417</v>
      </c>
      <c r="J18" s="3">
        <v>39.84735107421875</v>
      </c>
      <c r="K18" s="3">
        <v>2.5307946931447414</v>
      </c>
      <c r="L18" s="3">
        <v>4.5516556313890497</v>
      </c>
      <c r="M18" s="3">
        <v>21.521192073822021</v>
      </c>
      <c r="O18" s="20">
        <f t="shared" si="21"/>
        <v>1.975649007227247</v>
      </c>
      <c r="P18" s="11">
        <f t="shared" si="22"/>
        <v>128.20463564636691</v>
      </c>
      <c r="Q18" s="11">
        <f t="shared" si="12"/>
        <v>-71.79536435363309</v>
      </c>
      <c r="AB18">
        <v>1999</v>
      </c>
      <c r="AC18">
        <v>10</v>
      </c>
      <c r="AD18" s="8">
        <v>63.875745818018906</v>
      </c>
      <c r="AE18" s="8">
        <v>1798.0278778076179</v>
      </c>
      <c r="AF18" s="8">
        <v>0</v>
      </c>
      <c r="AG18" s="11">
        <v>47.588000000000001</v>
      </c>
      <c r="AH18" s="11"/>
      <c r="AI18" s="11"/>
      <c r="AV18">
        <v>15.858089474182991</v>
      </c>
      <c r="AW18">
        <v>8</v>
      </c>
      <c r="AX18" t="e">
        <v>#N/A</v>
      </c>
      <c r="AZ18">
        <v>5.5999495404383515</v>
      </c>
      <c r="BA18">
        <v>8</v>
      </c>
      <c r="BB18" t="e">
        <v>#N/A</v>
      </c>
      <c r="BT18" s="56">
        <v>36251</v>
      </c>
      <c r="BU18" s="8">
        <v>6021.1081562042245</v>
      </c>
      <c r="BV18" s="8">
        <v>3556.6369323730432</v>
      </c>
      <c r="BW18" s="8">
        <v>0</v>
      </c>
      <c r="CB18" s="58">
        <v>36465</v>
      </c>
      <c r="CC18" s="8">
        <f t="shared" ref="CC18:CC31" si="74">CB2</f>
        <v>48433.528095245361</v>
      </c>
      <c r="CD18">
        <v>1</v>
      </c>
      <c r="CE18" s="8">
        <v>0</v>
      </c>
      <c r="CF18">
        <f t="array" ref="CF18:CG22">LINEST(CG2:CG12,CC18:CD28,0,1)</f>
        <v>6566.013679524387</v>
      </c>
      <c r="CG18">
        <v>2.0511262935605665E-2</v>
      </c>
      <c r="CI18" s="58">
        <v>36465</v>
      </c>
      <c r="CJ18" s="8">
        <f t="shared" ref="CJ18:CJ31" si="75">CG2</f>
        <v>8590.5236684909705</v>
      </c>
      <c r="CK18" s="8">
        <f>($CG$18*CC18)+($CF$18*CD18)</f>
        <v>7559.4465091850088</v>
      </c>
      <c r="CL18" s="8">
        <f>($CL$34*CC18)+($CK$34*CD18)+($CJ$34*CE18)</f>
        <v>7653.1361335197926</v>
      </c>
      <c r="CN18">
        <v>2015</v>
      </c>
      <c r="CO18" s="11">
        <v>83.404705451516548</v>
      </c>
      <c r="CP18" s="11">
        <v>9.6588235995348768</v>
      </c>
      <c r="CQ18" s="11">
        <v>5.8000000154270843</v>
      </c>
      <c r="CR18" s="11">
        <v>85.938823565314792</v>
      </c>
      <c r="CS18" s="11">
        <v>44.802352972591628</v>
      </c>
      <c r="CT18" s="11">
        <v>49.797647004968979</v>
      </c>
      <c r="CU18" s="11">
        <v>45.731764625100531</v>
      </c>
      <c r="CV18" s="11">
        <v>28.916470493989831</v>
      </c>
      <c r="CW18" s="11">
        <v>5.2999999915852269</v>
      </c>
      <c r="CX18" s="11">
        <v>36.471764643052047</v>
      </c>
      <c r="CY18" s="11">
        <v>77.156470534380745</v>
      </c>
      <c r="CZ18" s="11">
        <v>50.571764732809626</v>
      </c>
      <c r="DA18" s="11">
        <v>523.55058763027193</v>
      </c>
      <c r="DH18" s="38">
        <v>2015</v>
      </c>
      <c r="DI18" s="11">
        <v>93.583495204888507</v>
      </c>
      <c r="DJ18" s="11">
        <v>21.270873764186231</v>
      </c>
      <c r="DK18" s="11">
        <v>7.5873786222587514</v>
      </c>
      <c r="DL18" s="11">
        <v>87.303883376630765</v>
      </c>
      <c r="DM18" s="11">
        <v>39.543689190762713</v>
      </c>
      <c r="DN18" s="11">
        <v>43.672815452501609</v>
      </c>
      <c r="DO18" s="11">
        <v>51.057281531176521</v>
      </c>
      <c r="DP18" s="11">
        <v>28.342718439194762</v>
      </c>
      <c r="DQ18" s="11">
        <v>6.2932038677548903</v>
      </c>
      <c r="DR18" s="11">
        <v>45.895145527367454</v>
      </c>
      <c r="DS18" s="11">
        <v>78.607767123620491</v>
      </c>
      <c r="DT18" s="11">
        <v>49.003883509959991</v>
      </c>
      <c r="DU18" s="11">
        <v>552.16213561030258</v>
      </c>
      <c r="DW18" s="56">
        <v>36281</v>
      </c>
      <c r="DX18">
        <v>255.76942777633667</v>
      </c>
      <c r="DY18">
        <v>0</v>
      </c>
      <c r="DZ18" s="8">
        <v>0</v>
      </c>
      <c r="EN18">
        <f t="array" ref="EN18:EO22">LINEST(EP3:EP16,EH3:EI16,0,1)</f>
        <v>2.4650127740015383E-2</v>
      </c>
      <c r="EO18">
        <v>6.9292105536039442E-2</v>
      </c>
      <c r="FE18" s="56">
        <v>36281</v>
      </c>
      <c r="FF18" s="8" t="e">
        <f>DX18+#REF!+#REF!</f>
        <v>#REF!</v>
      </c>
      <c r="FG18" s="8" t="e">
        <f>#REF!+DY18+#REF!</f>
        <v>#REF!</v>
      </c>
      <c r="FH18" s="8">
        <f t="shared" si="11"/>
        <v>0</v>
      </c>
    </row>
    <row r="19" spans="1:167" x14ac:dyDescent="0.25">
      <c r="A19" s="1">
        <v>2014</v>
      </c>
      <c r="B19" s="4">
        <v>24.322516570817555</v>
      </c>
      <c r="C19" s="4">
        <v>75.278476677193552</v>
      </c>
      <c r="D19" s="4">
        <v>90.829138976848682</v>
      </c>
      <c r="E19" s="4">
        <v>25.851986742967011</v>
      </c>
      <c r="F19" s="4">
        <v>22.87549670642575</v>
      </c>
      <c r="G19" s="4">
        <v>73.518543041305037</v>
      </c>
      <c r="H19" s="4">
        <v>20.260264911398984</v>
      </c>
      <c r="I19" s="4">
        <v>47.994701878124516</v>
      </c>
      <c r="J19" s="4">
        <v>15.195695374975141</v>
      </c>
      <c r="K19" s="4">
        <v>4.3576158760793948</v>
      </c>
      <c r="L19" s="4">
        <v>7.3963576278939156</v>
      </c>
      <c r="M19" s="4">
        <v>67.404635966218862</v>
      </c>
      <c r="AB19">
        <v>1999</v>
      </c>
      <c r="AC19">
        <v>11</v>
      </c>
      <c r="AD19" s="8">
        <v>2615.1963798999782</v>
      </c>
      <c r="AE19" s="8">
        <v>19019.509011983882</v>
      </c>
      <c r="AF19" s="8">
        <v>0</v>
      </c>
      <c r="AG19" s="11">
        <v>63.588000000000001</v>
      </c>
      <c r="AH19" s="11"/>
      <c r="AI19" s="11"/>
      <c r="AN19" t="s">
        <v>175</v>
      </c>
      <c r="AO19" t="s">
        <v>74</v>
      </c>
      <c r="AV19">
        <v>945204850.4563334</v>
      </c>
      <c r="AW19">
        <v>238415819.76066643</v>
      </c>
      <c r="AX19" t="e">
        <v>#N/A</v>
      </c>
      <c r="AZ19">
        <v>1959868055.5555558</v>
      </c>
      <c r="BA19">
        <v>1399918368.1231112</v>
      </c>
      <c r="BB19" t="e">
        <v>#N/A</v>
      </c>
      <c r="BT19" s="56">
        <v>36281</v>
      </c>
      <c r="BU19" s="8">
        <v>1427.1860628128052</v>
      </c>
      <c r="BV19" s="8">
        <v>0</v>
      </c>
      <c r="BW19" s="8">
        <v>0</v>
      </c>
      <c r="CB19" s="58">
        <v>36831</v>
      </c>
      <c r="CC19" s="8">
        <f t="shared" si="74"/>
        <v>99442.258068084571</v>
      </c>
      <c r="CD19">
        <v>1</v>
      </c>
      <c r="CE19" s="8">
        <v>0</v>
      </c>
      <c r="CF19">
        <v>729.73202502693664</v>
      </c>
      <c r="CG19">
        <v>6.7945102198547396E-3</v>
      </c>
      <c r="CI19" s="58">
        <v>36831</v>
      </c>
      <c r="CJ19" s="8">
        <f t="shared" si="75"/>
        <v>9105.6343933990811</v>
      </c>
      <c r="CK19" s="8">
        <f t="shared" ref="CK19:CK31" si="76">($CG$18*CC19)+($CF$18*CD19)</f>
        <v>8605.6999816692241</v>
      </c>
      <c r="CL19" s="8">
        <f t="shared" ref="CL19:CL31" si="77">($CL$34*CC19)+($CK$34*CD19)+($CJ$34*CE19)</f>
        <v>8468.2631865715794</v>
      </c>
      <c r="DT19" t="s">
        <v>311</v>
      </c>
      <c r="DU19" s="11">
        <f>AVERAGE(DU2:DU18)</f>
        <v>507.15145628289588</v>
      </c>
      <c r="DV19" s="11">
        <f>AVERAGE(DV2:DV17)</f>
        <v>263.14447829083912</v>
      </c>
      <c r="DW19" s="56">
        <v>36312</v>
      </c>
      <c r="DX19">
        <v>27.033591270446777</v>
      </c>
      <c r="DY19">
        <v>0</v>
      </c>
      <c r="DZ19" s="8">
        <v>0</v>
      </c>
      <c r="EN19">
        <v>0.59907777146998331</v>
      </c>
      <c r="EO19">
        <v>2.2853750075956414E-2</v>
      </c>
      <c r="FE19" s="56">
        <v>36312</v>
      </c>
      <c r="FF19" s="8" t="e">
        <f>DX19+#REF!+#REF!</f>
        <v>#REF!</v>
      </c>
      <c r="FG19" s="8" t="e">
        <f>#REF!+DY19+#REF!</f>
        <v>#REF!</v>
      </c>
      <c r="FH19" s="8">
        <f t="shared" si="11"/>
        <v>0</v>
      </c>
    </row>
    <row r="20" spans="1:167" ht="15.75" thickBot="1" x14ac:dyDescent="0.3">
      <c r="A20" t="s">
        <v>132</v>
      </c>
      <c r="B20" s="11">
        <f>AVERAGE(B4:B18)</f>
        <v>41.03099335909679</v>
      </c>
      <c r="C20" s="11">
        <f t="shared" ref="C20:M20" si="78">AVERAGE(C4:C18)</f>
        <v>58.734238409943408</v>
      </c>
      <c r="D20" s="11">
        <f t="shared" si="78"/>
        <v>50.654414979353653</v>
      </c>
      <c r="E20" s="11">
        <f t="shared" si="78"/>
        <v>29.688918319318208</v>
      </c>
      <c r="F20" s="11">
        <f t="shared" si="78"/>
        <v>27.050463591236412</v>
      </c>
      <c r="G20" s="11">
        <f t="shared" si="78"/>
        <v>49.731765983015244</v>
      </c>
      <c r="H20" s="11">
        <f t="shared" si="78"/>
        <v>27.276203090676152</v>
      </c>
      <c r="I20" s="11">
        <f t="shared" si="78"/>
        <v>19.060110375400281</v>
      </c>
      <c r="J20" s="11">
        <f t="shared" si="78"/>
        <v>27.130949243370271</v>
      </c>
      <c r="K20" s="11">
        <f t="shared" si="78"/>
        <v>34.087527609358297</v>
      </c>
      <c r="L20" s="11">
        <f t="shared" si="78"/>
        <v>53.231015474077886</v>
      </c>
      <c r="M20" s="11">
        <f t="shared" si="78"/>
        <v>66.572958040026904</v>
      </c>
      <c r="P20" s="11">
        <f>AVERAGE(P4:P18)</f>
        <v>252.52922736544483</v>
      </c>
      <c r="AB20">
        <v>1999</v>
      </c>
      <c r="AC20">
        <v>12</v>
      </c>
      <c r="AD20" s="8">
        <v>19083.526198390871</v>
      </c>
      <c r="AE20" s="8">
        <v>57.908931732177699</v>
      </c>
      <c r="AF20" s="8">
        <v>0</v>
      </c>
      <c r="AG20" s="11">
        <v>113.59</v>
      </c>
      <c r="AM20" t="s">
        <v>109</v>
      </c>
      <c r="AN20" s="8">
        <v>16000</v>
      </c>
      <c r="AO20" s="8">
        <f>($AW$15*AO7)+($AV$15*AP7)</f>
        <v>5865.1524203586814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T20" s="56">
        <v>36312</v>
      </c>
      <c r="BU20" s="8">
        <v>155.58182430267362</v>
      </c>
      <c r="BV20" s="8">
        <v>0</v>
      </c>
      <c r="BW20" s="8">
        <v>0</v>
      </c>
      <c r="CB20" s="58">
        <v>37196</v>
      </c>
      <c r="CC20" s="8">
        <f t="shared" si="74"/>
        <v>82716.697093486728</v>
      </c>
      <c r="CD20">
        <v>1</v>
      </c>
      <c r="CE20" s="8">
        <v>0</v>
      </c>
      <c r="CF20">
        <v>0.95953086318744263</v>
      </c>
      <c r="CG20">
        <v>1117.1591198791548</v>
      </c>
      <c r="CI20" s="58">
        <v>37196</v>
      </c>
      <c r="CJ20" s="8">
        <f t="shared" si="75"/>
        <v>8430.2953756949773</v>
      </c>
      <c r="CK20" s="8">
        <f t="shared" si="76"/>
        <v>8262.6376027737424</v>
      </c>
      <c r="CL20" s="8">
        <f t="shared" si="77"/>
        <v>8200.9862472099958</v>
      </c>
      <c r="CO20" t="s">
        <v>357</v>
      </c>
      <c r="CZ20" t="s">
        <v>311</v>
      </c>
      <c r="DA20" s="11">
        <f>AVERAGE(DA2:DA18)</f>
        <v>491.07930786939642</v>
      </c>
      <c r="DB20" s="11">
        <f>AVERAGE(DB2:DB17)</f>
        <v>258.93397049827172</v>
      </c>
      <c r="DH20" t="s">
        <v>340</v>
      </c>
      <c r="DW20" s="56">
        <v>36342</v>
      </c>
      <c r="DX20">
        <v>1043.5314559936526</v>
      </c>
      <c r="DY20">
        <v>0</v>
      </c>
      <c r="DZ20" s="8">
        <v>56.932771563530011</v>
      </c>
      <c r="EN20">
        <v>0.57719332069542018</v>
      </c>
      <c r="EO20">
        <v>4267.5568510075582</v>
      </c>
      <c r="FE20" s="56">
        <v>36342</v>
      </c>
      <c r="FF20" s="8" t="e">
        <f>DX20+#REF!+#REF!</f>
        <v>#REF!</v>
      </c>
      <c r="FG20" s="8" t="e">
        <f>#REF!+DY20+#REF!</f>
        <v>#REF!</v>
      </c>
      <c r="FH20" s="8">
        <f t="shared" si="11"/>
        <v>56.932771563530011</v>
      </c>
    </row>
    <row r="21" spans="1:167" x14ac:dyDescent="0.25">
      <c r="AB21">
        <v>2000</v>
      </c>
      <c r="AC21">
        <v>1</v>
      </c>
      <c r="AD21" s="8">
        <v>40127.54658180476</v>
      </c>
      <c r="AE21" s="8">
        <v>165.45212745666501</v>
      </c>
      <c r="AF21" s="8">
        <v>0</v>
      </c>
      <c r="AG21" s="11">
        <v>114.59</v>
      </c>
      <c r="AM21" t="s">
        <v>110</v>
      </c>
      <c r="AN21" s="8">
        <v>7000</v>
      </c>
      <c r="AO21" s="8">
        <f t="shared" ref="AO21:AO29" si="79">($AW$15*AO8)+($AV$15*AP8)</f>
        <v>3434.7922242778895</v>
      </c>
      <c r="BT21" s="56">
        <v>36342</v>
      </c>
      <c r="BU21" s="8">
        <v>0</v>
      </c>
      <c r="BV21" s="8">
        <v>0</v>
      </c>
      <c r="BW21" s="8">
        <v>0</v>
      </c>
      <c r="CB21" s="58">
        <v>37561</v>
      </c>
      <c r="CC21" s="8">
        <f t="shared" si="74"/>
        <v>45849.417540311806</v>
      </c>
      <c r="CD21">
        <v>1</v>
      </c>
      <c r="CE21" s="8">
        <v>0</v>
      </c>
      <c r="CF21">
        <v>106.6958483533473</v>
      </c>
      <c r="CG21">
        <v>9</v>
      </c>
      <c r="CI21" s="58">
        <v>37561</v>
      </c>
      <c r="CJ21" s="8">
        <f t="shared" si="75"/>
        <v>5807.7737941810401</v>
      </c>
      <c r="CK21" s="8">
        <f t="shared" si="76"/>
        <v>7506.4431381380928</v>
      </c>
      <c r="CL21" s="8">
        <f t="shared" si="77"/>
        <v>7611.8416644647004</v>
      </c>
      <c r="CO21" s="63" t="s">
        <v>109</v>
      </c>
      <c r="CP21" s="63" t="s">
        <v>110</v>
      </c>
      <c r="CQ21" s="63" t="s">
        <v>111</v>
      </c>
      <c r="CR21" s="63" t="s">
        <v>112</v>
      </c>
      <c r="CS21" s="63" t="s">
        <v>113</v>
      </c>
      <c r="CT21" s="63" t="s">
        <v>114</v>
      </c>
      <c r="CU21" s="63" t="s">
        <v>115</v>
      </c>
      <c r="CV21" s="63" t="s">
        <v>116</v>
      </c>
      <c r="CW21" s="63" t="s">
        <v>117</v>
      </c>
      <c r="CX21" s="63" t="s">
        <v>338</v>
      </c>
      <c r="CY21" s="63" t="s">
        <v>124</v>
      </c>
      <c r="CZ21" s="64" t="s">
        <v>339</v>
      </c>
      <c r="DH21" s="63" t="s">
        <v>109</v>
      </c>
      <c r="DI21" s="63" t="s">
        <v>110</v>
      </c>
      <c r="DJ21" s="63" t="s">
        <v>111</v>
      </c>
      <c r="DK21" s="63" t="s">
        <v>112</v>
      </c>
      <c r="DL21" s="63" t="s">
        <v>113</v>
      </c>
      <c r="DM21" s="63" t="s">
        <v>114</v>
      </c>
      <c r="DN21" s="63" t="s">
        <v>115</v>
      </c>
      <c r="DO21" s="63" t="s">
        <v>116</v>
      </c>
      <c r="DP21" s="63" t="s">
        <v>117</v>
      </c>
      <c r="DQ21" s="63" t="s">
        <v>338</v>
      </c>
      <c r="DR21" s="63" t="s">
        <v>124</v>
      </c>
      <c r="DS21" s="64" t="s">
        <v>339</v>
      </c>
      <c r="DW21" s="56">
        <v>36373</v>
      </c>
      <c r="DX21">
        <v>769.79425525665329</v>
      </c>
      <c r="DY21">
        <v>0</v>
      </c>
      <c r="DZ21" s="8">
        <v>75.938641548156781</v>
      </c>
      <c r="EN21">
        <v>8.190882721788185</v>
      </c>
      <c r="EO21">
        <v>12</v>
      </c>
      <c r="FE21" s="56">
        <v>36373</v>
      </c>
      <c r="FF21" s="8" t="e">
        <f>DX21+#REF!+#REF!</f>
        <v>#REF!</v>
      </c>
      <c r="FG21" s="8" t="e">
        <f>#REF!+DY21+#REF!</f>
        <v>#REF!</v>
      </c>
      <c r="FH21" s="8">
        <f t="shared" si="11"/>
        <v>75.938641548156781</v>
      </c>
    </row>
    <row r="22" spans="1:167" x14ac:dyDescent="0.25">
      <c r="B22" t="s">
        <v>102</v>
      </c>
      <c r="C22" t="s">
        <v>103</v>
      </c>
      <c r="D22" t="s">
        <v>104</v>
      </c>
      <c r="G22" t="s">
        <v>121</v>
      </c>
      <c r="H22" t="s">
        <v>119</v>
      </c>
      <c r="I22" t="s">
        <v>120</v>
      </c>
      <c r="AB22">
        <v>2000</v>
      </c>
      <c r="AC22">
        <v>2</v>
      </c>
      <c r="AD22" s="8">
        <v>45116.732699275039</v>
      </c>
      <c r="AE22" s="8">
        <v>0</v>
      </c>
      <c r="AF22" s="8">
        <v>0</v>
      </c>
      <c r="AG22" s="11">
        <v>115.59</v>
      </c>
      <c r="AM22" t="s">
        <v>111</v>
      </c>
      <c r="AN22" s="8">
        <v>16000</v>
      </c>
      <c r="AO22" s="8">
        <f t="shared" si="79"/>
        <v>9703.6122158297858</v>
      </c>
      <c r="AU22" t="s">
        <v>480</v>
      </c>
      <c r="AV22" s="37" t="s">
        <v>78</v>
      </c>
      <c r="AW22" t="str">
        <f>AN1</f>
        <v>area planted Ha</v>
      </c>
      <c r="AX22" t="str">
        <f>AO1</f>
        <v>GS on allocn jul-mar</v>
      </c>
      <c r="AY22" t="s">
        <v>482</v>
      </c>
      <c r="AZ22" t="str">
        <f>AP1</f>
        <v>GS off alloc jul-mar</v>
      </c>
      <c r="BA22" t="s">
        <v>481</v>
      </c>
      <c r="BB22" s="37" t="s">
        <v>470</v>
      </c>
      <c r="BC22" t="s">
        <v>283</v>
      </c>
      <c r="BD22" t="s">
        <v>322</v>
      </c>
      <c r="BE22" t="s">
        <v>323</v>
      </c>
      <c r="BT22" s="56">
        <v>36373</v>
      </c>
      <c r="BU22" s="8">
        <v>0</v>
      </c>
      <c r="BV22" s="8">
        <v>0</v>
      </c>
      <c r="BW22" s="8">
        <v>0</v>
      </c>
      <c r="CB22" s="58">
        <v>37926</v>
      </c>
      <c r="CC22" s="8">
        <f t="shared" si="74"/>
        <v>43449.852232217781</v>
      </c>
      <c r="CD22">
        <v>0</v>
      </c>
      <c r="CE22" s="8">
        <v>0</v>
      </c>
      <c r="CF22">
        <v>266322333.23462996</v>
      </c>
      <c r="CG22">
        <v>11232400.492162509</v>
      </c>
      <c r="CI22" s="58">
        <v>37926</v>
      </c>
      <c r="CJ22" s="8">
        <f t="shared" si="75"/>
        <v>3043.2507632939432</v>
      </c>
      <c r="CK22" s="8">
        <f t="shared" si="76"/>
        <v>891.2113436482316</v>
      </c>
      <c r="CL22" s="8">
        <f t="shared" si="77"/>
        <v>694.33506822149718</v>
      </c>
      <c r="CO22" s="8">
        <f>0.121*DH22*1000</f>
        <v>5275.5999999999995</v>
      </c>
      <c r="CP22" s="8">
        <f t="shared" ref="CP22:CQ22" si="80">0.121*DI22*1000</f>
        <v>6642.9</v>
      </c>
      <c r="CQ22" s="8">
        <f t="shared" si="80"/>
        <v>5239.2999999999993</v>
      </c>
      <c r="CR22" s="40">
        <v>5093.2949568855975</v>
      </c>
      <c r="CS22" s="40">
        <v>4890.3548000616838</v>
      </c>
      <c r="CT22" s="40">
        <v>5106.5773182621733</v>
      </c>
      <c r="CU22" s="40">
        <v>4332.9074574084234</v>
      </c>
      <c r="CV22" s="40">
        <v>1487.3888672401906</v>
      </c>
      <c r="CW22" s="40">
        <v>2113.1089130356304</v>
      </c>
      <c r="CX22" s="40">
        <v>4226.8482612449952</v>
      </c>
      <c r="CY22" s="40">
        <v>4682.0246291088915</v>
      </c>
      <c r="CZ22" s="40">
        <v>4875.2770693818466</v>
      </c>
      <c r="DH22" s="61">
        <v>43.6</v>
      </c>
      <c r="DI22" s="61">
        <v>54.9</v>
      </c>
      <c r="DJ22" s="61">
        <v>43.3</v>
      </c>
      <c r="DK22" s="61">
        <v>41.8</v>
      </c>
      <c r="DL22" s="61">
        <v>40.4</v>
      </c>
      <c r="DM22" s="61">
        <v>42.469199999999994</v>
      </c>
      <c r="DN22" s="61">
        <v>36.279999999999994</v>
      </c>
      <c r="DO22" s="61">
        <v>12.54</v>
      </c>
      <c r="DP22" s="61">
        <v>17.940000000000001</v>
      </c>
      <c r="DQ22" s="61">
        <v>36.14</v>
      </c>
      <c r="DR22" s="61">
        <v>40.32</v>
      </c>
      <c r="DS22" s="62">
        <v>45.92</v>
      </c>
      <c r="DW22" s="56">
        <v>36404</v>
      </c>
      <c r="DX22">
        <v>195.87397003173814</v>
      </c>
      <c r="DY22">
        <v>0</v>
      </c>
      <c r="DZ22" s="8">
        <v>118.52027893066408</v>
      </c>
      <c r="EN22">
        <v>298345391.71804315</v>
      </c>
      <c r="EO22">
        <v>218544497.71897858</v>
      </c>
      <c r="FE22" s="56">
        <v>36404</v>
      </c>
      <c r="FF22" s="8" t="e">
        <f>DX22+#REF!+#REF!</f>
        <v>#REF!</v>
      </c>
      <c r="FG22" s="8" t="e">
        <f>#REF!+DY22+#REF!</f>
        <v>#REF!</v>
      </c>
      <c r="FH22" s="8">
        <f t="shared" si="11"/>
        <v>118.52027893066408</v>
      </c>
    </row>
    <row r="23" spans="1:167" x14ac:dyDescent="0.25">
      <c r="A23" t="s">
        <v>105</v>
      </c>
      <c r="B23" s="8">
        <v>250101.3982787868</v>
      </c>
      <c r="C23" s="8">
        <v>13480.738259315494</v>
      </c>
      <c r="D23" s="8">
        <v>3720.2828768193694</v>
      </c>
      <c r="F23" t="s">
        <v>105</v>
      </c>
      <c r="G23" s="8">
        <f t="shared" ref="G23:G36" si="81">B23+C23</f>
        <v>263582.13653810229</v>
      </c>
      <c r="H23" s="8">
        <v>53000</v>
      </c>
      <c r="I23" s="8">
        <v>318000</v>
      </c>
      <c r="J23" s="20">
        <f t="shared" ref="J23:J36" si="82">I23/H23</f>
        <v>6</v>
      </c>
      <c r="AB23">
        <v>2000</v>
      </c>
      <c r="AC23">
        <v>3</v>
      </c>
      <c r="AD23" s="8">
        <v>14514.525563023984</v>
      </c>
      <c r="AE23" s="8">
        <v>2614.6295890808078</v>
      </c>
      <c r="AF23" s="8">
        <v>0</v>
      </c>
      <c r="AG23" s="11">
        <v>115.59</v>
      </c>
      <c r="AH23" s="11">
        <f>SUM(AD15:AD23)</f>
        <v>121725.3831654005</v>
      </c>
      <c r="AI23" s="11">
        <f>SUM(AE15:AE23)</f>
        <v>23855.527545690544</v>
      </c>
      <c r="AM23" t="s">
        <v>112</v>
      </c>
      <c r="AN23" s="8">
        <v>13900</v>
      </c>
      <c r="AO23" s="8">
        <f t="shared" si="79"/>
        <v>8038.3965836122015</v>
      </c>
      <c r="AU23" s="11">
        <f>AG6</f>
        <v>101.81</v>
      </c>
      <c r="AV23" t="s">
        <v>177</v>
      </c>
      <c r="AW23" s="8">
        <f t="shared" ref="AW23:AX23" si="83">AN2</f>
        <v>30000</v>
      </c>
      <c r="AX23" s="8">
        <f t="shared" si="83"/>
        <v>229195.51186773181</v>
      </c>
      <c r="AY23">
        <v>1</v>
      </c>
      <c r="AZ23" s="8">
        <f t="shared" ref="AZ23:AZ37" si="84">AP2</f>
        <v>25723.53280571102</v>
      </c>
      <c r="BA23">
        <v>0</v>
      </c>
      <c r="BB23">
        <v>1998</v>
      </c>
      <c r="BC23" s="8">
        <v>30000</v>
      </c>
      <c r="BD23" s="8">
        <f>($AZ$39*AX23)+($AY$39*AY23)+($AX$39*AZ23)</f>
        <v>32881.214253423714</v>
      </c>
      <c r="BE23" s="8">
        <f>($BE$39*AX23)+($BD$39*AY23)+($BC$39*AZ23)+($BB$39*BA23)</f>
        <v>31707.936057442155</v>
      </c>
      <c r="BT23" s="56">
        <v>36404</v>
      </c>
      <c r="BU23" s="8">
        <v>0</v>
      </c>
      <c r="BV23" s="8">
        <v>0</v>
      </c>
      <c r="BW23" s="8">
        <v>0</v>
      </c>
      <c r="CB23" s="58">
        <v>38292</v>
      </c>
      <c r="CC23" s="8">
        <f t="shared" si="74"/>
        <v>44652.66287827491</v>
      </c>
      <c r="CD23">
        <v>0</v>
      </c>
      <c r="CE23" s="8">
        <v>0</v>
      </c>
      <c r="CF23" t="s">
        <v>468</v>
      </c>
      <c r="CI23" s="58">
        <v>38292</v>
      </c>
      <c r="CJ23" s="8">
        <f t="shared" si="75"/>
        <v>0</v>
      </c>
      <c r="CK23" s="8">
        <f t="shared" si="76"/>
        <v>915.88250907125507</v>
      </c>
      <c r="CL23" s="8">
        <f t="shared" si="77"/>
        <v>713.55616033302249</v>
      </c>
      <c r="CO23" t="s">
        <v>416</v>
      </c>
      <c r="CP23" t="s">
        <v>174</v>
      </c>
      <c r="CQ23" t="s">
        <v>463</v>
      </c>
      <c r="CR23" t="s">
        <v>464</v>
      </c>
      <c r="CS23" t="s">
        <v>191</v>
      </c>
      <c r="DW23" s="56">
        <v>36434</v>
      </c>
      <c r="DX23">
        <v>176.56792998313912</v>
      </c>
      <c r="DY23">
        <v>757.05899047851494</v>
      </c>
      <c r="DZ23" s="8">
        <v>431.00165748596066</v>
      </c>
      <c r="FE23" s="56">
        <v>36434</v>
      </c>
      <c r="FF23" s="8" t="e">
        <f>DX23+#REF!+#REF!</f>
        <v>#REF!</v>
      </c>
      <c r="FG23" s="8" t="e">
        <f>#REF!+DY23+#REF!</f>
        <v>#REF!</v>
      </c>
      <c r="FH23" s="8">
        <f t="shared" si="11"/>
        <v>431.00165748596066</v>
      </c>
    </row>
    <row r="24" spans="1:167" x14ac:dyDescent="0.25">
      <c r="A24" t="s">
        <v>106</v>
      </c>
      <c r="B24" s="8">
        <v>446181.41769299284</v>
      </c>
      <c r="C24" s="8">
        <v>59617.754576206222</v>
      </c>
      <c r="D24" s="8">
        <v>3620.770002044736</v>
      </c>
      <c r="F24" t="s">
        <v>106</v>
      </c>
      <c r="G24" s="8">
        <f t="shared" si="81"/>
        <v>505799.17226919904</v>
      </c>
      <c r="H24" s="8">
        <v>56000</v>
      </c>
      <c r="I24" s="8">
        <v>398878</v>
      </c>
      <c r="J24" s="20">
        <f t="shared" si="82"/>
        <v>7.1228214285714282</v>
      </c>
      <c r="AB24">
        <v>2000</v>
      </c>
      <c r="AC24">
        <v>4</v>
      </c>
      <c r="AD24" s="8">
        <v>3107.7645995616904</v>
      </c>
      <c r="AE24" s="8">
        <v>3858.0872988700889</v>
      </c>
      <c r="AF24" s="8">
        <v>0</v>
      </c>
      <c r="AG24" s="11">
        <v>125.59</v>
      </c>
      <c r="AM24" t="s">
        <v>113</v>
      </c>
      <c r="AN24" s="8">
        <v>3210</v>
      </c>
      <c r="AO24" s="8">
        <f t="shared" si="79"/>
        <v>3229.2031859100125</v>
      </c>
      <c r="AU24" s="11">
        <f>AG18</f>
        <v>47.588000000000001</v>
      </c>
      <c r="AV24" t="s">
        <v>105</v>
      </c>
      <c r="AW24" s="8">
        <f t="shared" ref="AW24:AX24" si="85">AN3</f>
        <v>30416.666666666668</v>
      </c>
      <c r="AX24" s="8">
        <f t="shared" si="85"/>
        <v>121725.3831654005</v>
      </c>
      <c r="AY24">
        <v>1</v>
      </c>
      <c r="AZ24" s="8">
        <f t="shared" si="84"/>
        <v>23855.527545690544</v>
      </c>
      <c r="BA24">
        <v>0</v>
      </c>
      <c r="BB24">
        <v>1999</v>
      </c>
      <c r="BC24" s="8">
        <v>30416.666666666668</v>
      </c>
      <c r="BD24" s="8">
        <f t="shared" ref="BD24:BD37" si="86">($AZ$39*AX24)+($AY$39*AY24)+($AX$39*AZ24)</f>
        <v>28525.941017930363</v>
      </c>
      <c r="BE24" s="8">
        <f t="shared" ref="BE24:BE37" si="87">($BE$39*AX24)+($BD$39*AY24)+($BC$39*AZ24)+($BB$39*BA24)</f>
        <v>28121.388226780196</v>
      </c>
      <c r="BT24" s="56">
        <v>36434</v>
      </c>
      <c r="BU24" s="8">
        <v>0</v>
      </c>
      <c r="BV24" s="8">
        <v>1651.337097167969</v>
      </c>
      <c r="BW24" s="8">
        <v>0</v>
      </c>
      <c r="BX24" t="s">
        <v>362</v>
      </c>
      <c r="BY24" t="s">
        <v>271</v>
      </c>
      <c r="BZ24" t="s">
        <v>272</v>
      </c>
      <c r="CB24" s="58">
        <v>38657</v>
      </c>
      <c r="CC24" s="8">
        <f t="shared" si="74"/>
        <v>72060.121536254897</v>
      </c>
      <c r="CD24">
        <v>0</v>
      </c>
      <c r="CE24" s="8">
        <v>0</v>
      </c>
      <c r="CF24" t="s">
        <v>467</v>
      </c>
      <c r="CG24" t="s">
        <v>271</v>
      </c>
      <c r="CI24" s="58">
        <v>38657</v>
      </c>
      <c r="CJ24" s="8">
        <f t="shared" si="75"/>
        <v>1837.5732287414171</v>
      </c>
      <c r="CK24" s="8">
        <f t="shared" si="76"/>
        <v>1478.0441000018245</v>
      </c>
      <c r="CL24" s="8">
        <f t="shared" si="77"/>
        <v>1151.5314053433106</v>
      </c>
      <c r="CN24" t="str">
        <f t="array" ref="CN24:CO34">TRANSPOSE(CO21:CY22)</f>
        <v>2003-04</v>
      </c>
      <c r="CO24" s="8">
        <v>5275.5999999999995</v>
      </c>
      <c r="CP24" s="11">
        <f>DB6</f>
        <v>164.26823543099795</v>
      </c>
      <c r="CQ24" s="11">
        <f>CP24-$DB$20</f>
        <v>-94.665735067273772</v>
      </c>
      <c r="CR24" s="20">
        <f>$CY$24-(CQ24/100)</f>
        <v>9.9466573506727372</v>
      </c>
      <c r="CS24" s="8">
        <f>CO24/CR24</f>
        <v>530.38923670605652</v>
      </c>
      <c r="CW24" t="s">
        <v>461</v>
      </c>
      <c r="CY24">
        <v>9</v>
      </c>
      <c r="DK24" t="s">
        <v>354</v>
      </c>
      <c r="DW24" s="56">
        <v>36465</v>
      </c>
      <c r="DX24">
        <v>255.44934439659116</v>
      </c>
      <c r="DY24">
        <v>910.87207031250091</v>
      </c>
      <c r="DZ24" s="8">
        <v>417.97444629669184</v>
      </c>
      <c r="EA24" s="56">
        <f>DW24</f>
        <v>36465</v>
      </c>
      <c r="EB24" s="8">
        <f>SUM(DZ20:DZ28)</f>
        <v>3049.0292052030541</v>
      </c>
      <c r="EC24" s="8">
        <f>SUM(DX20:DX28)</f>
        <v>45031.684056267142</v>
      </c>
      <c r="ED24" s="8">
        <f>SUM(DY20:DY28)</f>
        <v>2281.8575906753545</v>
      </c>
      <c r="EF24" t="s">
        <v>43</v>
      </c>
      <c r="EG24" t="s">
        <v>271</v>
      </c>
      <c r="EH24" t="s">
        <v>483</v>
      </c>
      <c r="EI24" t="s">
        <v>484</v>
      </c>
      <c r="ER24" t="s">
        <v>474</v>
      </c>
      <c r="ES24" t="s">
        <v>349</v>
      </c>
      <c r="FE24" s="56">
        <v>36465</v>
      </c>
      <c r="FF24" s="8" t="e">
        <f>DX24+#REF!+#REF!</f>
        <v>#REF!</v>
      </c>
      <c r="FG24" s="8" t="e">
        <f>#REF!+DY24+#REF!</f>
        <v>#REF!</v>
      </c>
      <c r="FH24" s="8">
        <f t="shared" si="11"/>
        <v>417.97444629669184</v>
      </c>
      <c r="FI24" s="8" t="e">
        <f>SUM(FF20:FF28)</f>
        <v>#REF!</v>
      </c>
      <c r="FJ24" s="8" t="e">
        <f>SUM(FG20:FG28)</f>
        <v>#REF!</v>
      </c>
      <c r="FK24" s="8">
        <f>SUM(FH20:FH28)</f>
        <v>3049.0292052030541</v>
      </c>
    </row>
    <row r="25" spans="1:167" x14ac:dyDescent="0.25">
      <c r="A25" t="s">
        <v>107</v>
      </c>
      <c r="B25" s="8">
        <v>341315.793846327</v>
      </c>
      <c r="C25" s="8">
        <v>23347.441976666447</v>
      </c>
      <c r="D25" s="8">
        <v>3338.2290621474372</v>
      </c>
      <c r="F25" t="s">
        <v>107</v>
      </c>
      <c r="G25" s="8">
        <f t="shared" si="81"/>
        <v>364663.23582299345</v>
      </c>
      <c r="H25" s="8">
        <v>53000</v>
      </c>
      <c r="I25" s="8">
        <v>434600</v>
      </c>
      <c r="J25" s="20">
        <f t="shared" si="82"/>
        <v>8.1999999999999993</v>
      </c>
      <c r="AB25">
        <v>2000</v>
      </c>
      <c r="AC25">
        <v>5</v>
      </c>
      <c r="AD25" s="8">
        <v>26.116633147001302</v>
      </c>
      <c r="AE25" s="8">
        <v>156.35872381925546</v>
      </c>
      <c r="AF25" s="8">
        <v>0</v>
      </c>
      <c r="AG25" s="11">
        <v>125.59</v>
      </c>
      <c r="AM25" t="s">
        <v>114</v>
      </c>
      <c r="AN25" s="8">
        <v>4150</v>
      </c>
      <c r="AO25" s="8">
        <f t="shared" si="79"/>
        <v>2458.5373792289283</v>
      </c>
      <c r="AU25" s="11">
        <f>AG30</f>
        <v>102.16</v>
      </c>
      <c r="AV25" t="s">
        <v>106</v>
      </c>
      <c r="AW25" s="8">
        <f t="shared" ref="AW25:AX25" si="88">AN4</f>
        <v>32166.666666666668</v>
      </c>
      <c r="AX25" s="8">
        <f t="shared" si="88"/>
        <v>229850.92382268608</v>
      </c>
      <c r="AY25">
        <v>1</v>
      </c>
      <c r="AZ25" s="8">
        <f t="shared" si="84"/>
        <v>24783.108774662032</v>
      </c>
      <c r="BA25">
        <v>0</v>
      </c>
      <c r="BB25">
        <v>2000</v>
      </c>
      <c r="BC25" s="8">
        <v>32166.666666666668</v>
      </c>
      <c r="BD25" s="8">
        <f t="shared" si="86"/>
        <v>32696.736072860858</v>
      </c>
      <c r="BE25" s="8">
        <f t="shared" si="87"/>
        <v>31590.752349191043</v>
      </c>
      <c r="BT25" s="56">
        <v>36465</v>
      </c>
      <c r="BU25" s="8">
        <v>0</v>
      </c>
      <c r="BV25" s="8">
        <v>11805.945594787598</v>
      </c>
      <c r="BW25" s="8">
        <v>0</v>
      </c>
      <c r="BX25" s="8">
        <f>SUM(BW21:BW29)</f>
        <v>0</v>
      </c>
      <c r="BY25" s="8">
        <f>SUM(BU21:BU29)</f>
        <v>48433.528095245361</v>
      </c>
      <c r="BZ25" s="8">
        <f>SUM(BV13:BV24)</f>
        <v>5939.1017379760706</v>
      </c>
      <c r="CB25" s="58">
        <v>39022</v>
      </c>
      <c r="CC25" s="8">
        <f t="shared" si="74"/>
        <v>114687.49063205728</v>
      </c>
      <c r="CD25">
        <v>0</v>
      </c>
      <c r="CE25" s="8">
        <v>0</v>
      </c>
      <c r="CF25">
        <f t="array" ref="CF25:CG29">LINEST(CG2:CG15,CC18:CD31,0,1)</f>
        <v>5436.5131273618636</v>
      </c>
      <c r="CG25">
        <v>3.6854668894045026E-2</v>
      </c>
      <c r="CI25" s="58">
        <v>39022</v>
      </c>
      <c r="CJ25" s="8">
        <f t="shared" si="75"/>
        <v>1845.7767948807088</v>
      </c>
      <c r="CK25" s="8">
        <f t="shared" si="76"/>
        <v>2352.3852757789382</v>
      </c>
      <c r="CL25" s="8">
        <f t="shared" si="77"/>
        <v>1832.7230713368349</v>
      </c>
      <c r="CN25" t="str">
        <v>2004-05</v>
      </c>
      <c r="CO25" s="8">
        <v>6642.9</v>
      </c>
      <c r="CP25" s="11">
        <f t="shared" ref="CP25:CP34" si="89">DB7</f>
        <v>178.37647058823529</v>
      </c>
      <c r="CQ25" s="11">
        <f t="shared" ref="CQ25:CQ34" si="90">CP25-$DB$20</f>
        <v>-80.557499910036427</v>
      </c>
      <c r="CR25" s="20">
        <f t="shared" ref="CR25:CR34" si="91">$CY$24-(CQ25/100)</f>
        <v>9.8055749991003651</v>
      </c>
      <c r="CS25" s="8">
        <f t="shared" ref="CS25:CS34" si="92">CO25/CR25</f>
        <v>677.4615461724037</v>
      </c>
      <c r="CW25" t="s">
        <v>462</v>
      </c>
      <c r="DH25" s="8">
        <f>0.77*DH22*1000</f>
        <v>33572</v>
      </c>
      <c r="DI25" s="8">
        <f t="shared" ref="DI25:DJ25" si="93">0.77*DI22*1000</f>
        <v>42273</v>
      </c>
      <c r="DJ25" s="8">
        <f t="shared" si="93"/>
        <v>33341</v>
      </c>
      <c r="DK25" s="40">
        <v>32086.374785019001</v>
      </c>
      <c r="DL25" s="40">
        <v>31028.197767523514</v>
      </c>
      <c r="DM25" s="40">
        <v>32634.848695559009</v>
      </c>
      <c r="DN25" s="40">
        <v>27893.863826431862</v>
      </c>
      <c r="DO25" s="40">
        <v>9646.602020323131</v>
      </c>
      <c r="DP25" s="40">
        <v>13808.174253637053</v>
      </c>
      <c r="DQ25" s="40">
        <v>27831.752099850852</v>
      </c>
      <c r="DR25" s="40">
        <v>31067.986037040631</v>
      </c>
      <c r="DS25" s="40">
        <v>32604.781934991392</v>
      </c>
      <c r="DW25" s="56">
        <v>36495</v>
      </c>
      <c r="DX25">
        <v>9198.1131849139947</v>
      </c>
      <c r="DY25">
        <v>19.073891639709501</v>
      </c>
      <c r="DZ25" s="8">
        <v>973.04061698913529</v>
      </c>
      <c r="EF25" s="56">
        <v>36465</v>
      </c>
      <c r="EG25" s="8">
        <f>EH3</f>
        <v>45031.684056267142</v>
      </c>
      <c r="EH25">
        <v>1</v>
      </c>
      <c r="EI25">
        <v>0</v>
      </c>
      <c r="EQ25" s="56">
        <f>EF25</f>
        <v>36465</v>
      </c>
      <c r="ER25" s="8">
        <f>EP3</f>
        <v>11134.459329623023</v>
      </c>
      <c r="ES25" s="8">
        <f>($EM$27*EG25)+($EL$27*EH25)+($EK$27*EI25)</f>
        <v>8506.542741638088</v>
      </c>
      <c r="FE25" s="56">
        <v>36495</v>
      </c>
      <c r="FF25" s="8" t="e">
        <f>DX25+#REF!+#REF!</f>
        <v>#REF!</v>
      </c>
      <c r="FG25" s="8" t="e">
        <f>#REF!+DY25+#REF!</f>
        <v>#REF!</v>
      </c>
      <c r="FH25" s="8">
        <f t="shared" si="11"/>
        <v>973.04061698913529</v>
      </c>
    </row>
    <row r="26" spans="1:167" x14ac:dyDescent="0.25">
      <c r="A26" t="s">
        <v>108</v>
      </c>
      <c r="B26" s="8">
        <v>134552.19886738178</v>
      </c>
      <c r="C26" s="8">
        <v>7822.9245582819003</v>
      </c>
      <c r="D26" s="8">
        <v>3719.9929392943163</v>
      </c>
      <c r="F26" t="s">
        <v>108</v>
      </c>
      <c r="G26" s="8">
        <f t="shared" si="81"/>
        <v>142375.12342566368</v>
      </c>
      <c r="H26" s="8">
        <v>30000</v>
      </c>
      <c r="I26" s="8">
        <v>234000</v>
      </c>
      <c r="J26" s="20">
        <f t="shared" si="82"/>
        <v>7.8</v>
      </c>
      <c r="AB26">
        <v>2000</v>
      </c>
      <c r="AC26">
        <v>6</v>
      </c>
      <c r="AD26" s="8">
        <v>0</v>
      </c>
      <c r="AE26" s="8">
        <v>0</v>
      </c>
      <c r="AF26" s="8">
        <v>0</v>
      </c>
      <c r="AG26" s="11">
        <v>125.59</v>
      </c>
      <c r="AM26" t="s">
        <v>115</v>
      </c>
      <c r="AN26" s="8">
        <v>6200</v>
      </c>
      <c r="AO26" s="8">
        <f t="shared" si="79"/>
        <v>4478.5239603776336</v>
      </c>
      <c r="AU26" s="11">
        <f>AG42</f>
        <v>71.784000000000006</v>
      </c>
      <c r="AV26" t="s">
        <v>107</v>
      </c>
      <c r="AW26" s="8">
        <f t="shared" ref="AW26:AX26" si="94">AN5</f>
        <v>30416.666666666668</v>
      </c>
      <c r="AX26" s="8">
        <f t="shared" si="94"/>
        <v>163813.50927376002</v>
      </c>
      <c r="AY26">
        <v>1</v>
      </c>
      <c r="AZ26" s="8">
        <f t="shared" si="84"/>
        <v>5047.6853840351096</v>
      </c>
      <c r="BA26">
        <v>0</v>
      </c>
      <c r="BB26">
        <v>2001</v>
      </c>
      <c r="BC26" s="8">
        <v>30416.666666666668</v>
      </c>
      <c r="BD26" s="8">
        <f t="shared" si="86"/>
        <v>25899.255881878864</v>
      </c>
      <c r="BE26" s="8">
        <f t="shared" si="87"/>
        <v>26671.34781284479</v>
      </c>
      <c r="BT26" s="56">
        <v>36495</v>
      </c>
      <c r="BU26" s="8">
        <v>3064.3563690185547</v>
      </c>
      <c r="BV26" s="8">
        <v>194.69864654541001</v>
      </c>
      <c r="BW26" s="8">
        <v>0</v>
      </c>
      <c r="CB26" s="58">
        <v>39387</v>
      </c>
      <c r="CC26" s="8">
        <f t="shared" si="74"/>
        <v>35019.569796562195</v>
      </c>
      <c r="CD26">
        <v>0</v>
      </c>
      <c r="CE26" s="8">
        <v>0</v>
      </c>
      <c r="CF26">
        <v>1332.7327039439303</v>
      </c>
      <c r="CG26">
        <v>9.3507646819520982E-3</v>
      </c>
      <c r="CI26" s="58">
        <v>39387</v>
      </c>
      <c r="CJ26" s="8">
        <f t="shared" si="75"/>
        <v>0</v>
      </c>
      <c r="CK26" s="8">
        <f t="shared" si="76"/>
        <v>718.29560398908177</v>
      </c>
      <c r="CL26" s="8">
        <f t="shared" si="77"/>
        <v>559.61790741727418</v>
      </c>
      <c r="CN26" t="str">
        <v>2005-06</v>
      </c>
      <c r="CO26" s="8">
        <v>5239.2999999999993</v>
      </c>
      <c r="CP26" s="11">
        <f t="shared" si="89"/>
        <v>143.73647043003754</v>
      </c>
      <c r="CQ26" s="11">
        <f t="shared" si="90"/>
        <v>-115.19750006823418</v>
      </c>
      <c r="CR26" s="20">
        <f t="shared" si="91"/>
        <v>10.151975000682341</v>
      </c>
      <c r="CS26" s="8">
        <f t="shared" si="92"/>
        <v>516.08677125858287</v>
      </c>
      <c r="DH26" t="s">
        <v>356</v>
      </c>
      <c r="DK26" s="67">
        <f>DK25/(DK22*1000)</f>
        <v>0.76761662165117228</v>
      </c>
      <c r="DL26" s="67">
        <f t="shared" ref="DL26:DS26" si="95">DL25/(DL22*1000)</f>
        <v>0.76802469721592859</v>
      </c>
      <c r="DM26" s="67">
        <f t="shared" si="95"/>
        <v>0.76843568269614237</v>
      </c>
      <c r="DN26" s="67">
        <f t="shared" si="95"/>
        <v>0.76884960932833146</v>
      </c>
      <c r="DO26" s="67">
        <f t="shared" si="95"/>
        <v>0.76926650879769787</v>
      </c>
      <c r="DP26" s="67">
        <f t="shared" si="95"/>
        <v>0.76968641324621256</v>
      </c>
      <c r="DQ26" s="67">
        <f t="shared" si="95"/>
        <v>0.77010935528087576</v>
      </c>
      <c r="DR26" s="67">
        <f t="shared" si="95"/>
        <v>0.77053536798215849</v>
      </c>
      <c r="DS26" s="67">
        <f t="shared" si="95"/>
        <v>0.71003444980381947</v>
      </c>
      <c r="DW26" s="56">
        <v>36526</v>
      </c>
      <c r="DX26">
        <v>14957.890384197237</v>
      </c>
      <c r="DY26">
        <v>0</v>
      </c>
      <c r="DZ26" s="8">
        <v>975.62079238891545</v>
      </c>
      <c r="EF26" s="56">
        <v>36831</v>
      </c>
      <c r="EG26" s="8">
        <f t="shared" ref="EG26:EG38" si="96">EH4</f>
        <v>102891.15013855686</v>
      </c>
      <c r="EH26">
        <v>1</v>
      </c>
      <c r="EI26">
        <v>0</v>
      </c>
      <c r="EK26" s="24" t="s">
        <v>484</v>
      </c>
      <c r="EL26" s="24" t="s">
        <v>483</v>
      </c>
      <c r="EM26" s="24" t="s">
        <v>271</v>
      </c>
      <c r="EQ26" s="56">
        <f t="shared" ref="EQ26:EQ38" si="97">EF26</f>
        <v>36831</v>
      </c>
      <c r="ER26" s="8">
        <f t="shared" ref="ER26:ER38" si="98">EP4</f>
        <v>11889.101565949493</v>
      </c>
      <c r="ES26" s="8">
        <f t="shared" ref="ES26:ES38" si="99">($EM$27*EG26)+($EL$27*EH26)+($EK$27*EI26)</f>
        <v>10147.178864363315</v>
      </c>
      <c r="FE26" s="56">
        <v>36526</v>
      </c>
      <c r="FF26" s="8" t="e">
        <f>DX26+#REF!+#REF!</f>
        <v>#REF!</v>
      </c>
      <c r="FG26" s="8" t="e">
        <f>#REF!+DY26+#REF!</f>
        <v>#REF!</v>
      </c>
      <c r="FH26" s="8">
        <f t="shared" si="11"/>
        <v>975.62079238891545</v>
      </c>
    </row>
    <row r="27" spans="1:167" x14ac:dyDescent="0.25">
      <c r="A27" t="s">
        <v>109</v>
      </c>
      <c r="B27" s="8">
        <v>158062.62837458588</v>
      </c>
      <c r="C27" s="8">
        <v>21924.420641653232</v>
      </c>
      <c r="D27" s="8">
        <v>3426.2304693683968</v>
      </c>
      <c r="F27" t="s">
        <v>109</v>
      </c>
      <c r="G27" s="8">
        <f t="shared" si="81"/>
        <v>179987.04901623912</v>
      </c>
      <c r="H27" s="8">
        <v>16000</v>
      </c>
      <c r="I27" s="8">
        <v>143500</v>
      </c>
      <c r="J27" s="20">
        <f t="shared" si="82"/>
        <v>8.96875</v>
      </c>
      <c r="AB27">
        <v>2000</v>
      </c>
      <c r="AC27">
        <v>7</v>
      </c>
      <c r="AD27" s="8">
        <v>0</v>
      </c>
      <c r="AE27" s="8">
        <v>0</v>
      </c>
      <c r="AF27" s="8">
        <v>0</v>
      </c>
      <c r="AG27" s="11">
        <v>122.32</v>
      </c>
      <c r="AM27" t="s">
        <v>116</v>
      </c>
      <c r="AN27" s="8">
        <v>16800</v>
      </c>
      <c r="AO27" s="8">
        <f t="shared" si="79"/>
        <v>17576.824749191008</v>
      </c>
      <c r="AU27" s="11">
        <f>AG54</f>
        <v>20.420000000000002</v>
      </c>
      <c r="AV27" t="s">
        <v>108</v>
      </c>
      <c r="AW27" s="8">
        <f t="shared" ref="AW27:AX27" si="100">AN6</f>
        <v>16965.599999999999</v>
      </c>
      <c r="AX27" s="8">
        <f t="shared" si="100"/>
        <v>31075.124840290286</v>
      </c>
      <c r="AY27">
        <v>1</v>
      </c>
      <c r="AZ27" s="8">
        <f t="shared" si="84"/>
        <v>225.9688455760479</v>
      </c>
      <c r="BA27">
        <v>0</v>
      </c>
      <c r="BB27">
        <v>2002</v>
      </c>
      <c r="BC27" s="8">
        <v>16965.599999999999</v>
      </c>
      <c r="BD27" s="8">
        <f t="shared" si="86"/>
        <v>19962.452773906167</v>
      </c>
      <c r="BE27" s="8">
        <f t="shared" si="87"/>
        <v>21874.175553741807</v>
      </c>
      <c r="BT27" s="56">
        <v>36526</v>
      </c>
      <c r="BU27" s="8">
        <v>20023.090675354008</v>
      </c>
      <c r="BV27" s="8">
        <v>0</v>
      </c>
      <c r="BW27" s="8">
        <v>0</v>
      </c>
      <c r="CB27" s="58">
        <v>39753</v>
      </c>
      <c r="CC27" s="8">
        <f t="shared" si="74"/>
        <v>37921.98935723304</v>
      </c>
      <c r="CD27">
        <v>0</v>
      </c>
      <c r="CE27" s="8">
        <v>0</v>
      </c>
      <c r="CF27">
        <v>0.83881726588743377</v>
      </c>
      <c r="CG27">
        <v>2331.1420060128094</v>
      </c>
      <c r="CI27" s="58">
        <v>39753</v>
      </c>
      <c r="CJ27" s="8">
        <f t="shared" si="75"/>
        <v>0</v>
      </c>
      <c r="CK27" s="8">
        <f t="shared" si="76"/>
        <v>777.82789474744652</v>
      </c>
      <c r="CL27" s="8">
        <f t="shared" si="77"/>
        <v>605.99900148625477</v>
      </c>
      <c r="CN27" t="str">
        <v>2006-07</v>
      </c>
      <c r="CO27" s="8">
        <v>5093.2949568855975</v>
      </c>
      <c r="CP27" s="11">
        <f t="shared" si="89"/>
        <v>197.39647031671859</v>
      </c>
      <c r="CQ27" s="11">
        <f t="shared" si="90"/>
        <v>-61.537500181553128</v>
      </c>
      <c r="CR27" s="20">
        <f t="shared" si="91"/>
        <v>9.6153750018155311</v>
      </c>
      <c r="CS27" s="8">
        <f t="shared" si="92"/>
        <v>529.70320511929117</v>
      </c>
      <c r="DW27" s="56">
        <v>36557</v>
      </c>
      <c r="DX27">
        <v>16077.859637260437</v>
      </c>
      <c r="DY27">
        <v>0</v>
      </c>
      <c r="DZ27" s="8">
        <v>0</v>
      </c>
      <c r="EF27" s="56">
        <v>37196</v>
      </c>
      <c r="EG27" s="8">
        <f t="shared" si="96"/>
        <v>52205.84387549758</v>
      </c>
      <c r="EH27">
        <v>1</v>
      </c>
      <c r="EI27">
        <v>0</v>
      </c>
      <c r="EK27">
        <f t="array" ref="EK27:EM31">LINEST(ER25:ER38,EG25:EI38,0,1)</f>
        <v>5402.6386900729767</v>
      </c>
      <c r="EL27">
        <v>7229.6452427087679</v>
      </c>
      <c r="EM27">
        <v>2.8355535123532921E-2</v>
      </c>
      <c r="EQ27" s="56">
        <f t="shared" si="97"/>
        <v>37196</v>
      </c>
      <c r="ER27" s="8">
        <f t="shared" si="98"/>
        <v>10050.983419889508</v>
      </c>
      <c r="ES27" s="8">
        <f t="shared" si="99"/>
        <v>8709.9698823741164</v>
      </c>
      <c r="FE27" s="56">
        <v>36557</v>
      </c>
      <c r="FF27" s="8" t="e">
        <f>DX27+#REF!+#REF!</f>
        <v>#REF!</v>
      </c>
      <c r="FG27" s="8" t="e">
        <f>#REF!+DY27+#REF!</f>
        <v>#REF!</v>
      </c>
      <c r="FH27" s="8">
        <f t="shared" si="11"/>
        <v>0</v>
      </c>
    </row>
    <row r="28" spans="1:167" x14ac:dyDescent="0.25">
      <c r="A28" t="s">
        <v>110</v>
      </c>
      <c r="B28" s="8">
        <v>152624.00867817854</v>
      </c>
      <c r="C28" s="8">
        <v>172.53769397735604</v>
      </c>
      <c r="D28" s="8">
        <v>3229.8529353243043</v>
      </c>
      <c r="F28" t="s">
        <v>110</v>
      </c>
      <c r="G28" s="8">
        <f t="shared" si="81"/>
        <v>152796.54637215589</v>
      </c>
      <c r="H28" s="8">
        <v>7000</v>
      </c>
      <c r="I28" s="8">
        <v>64000</v>
      </c>
      <c r="J28" s="20">
        <f t="shared" si="82"/>
        <v>9.1428571428571423</v>
      </c>
      <c r="AB28">
        <v>2000</v>
      </c>
      <c r="AC28">
        <v>8</v>
      </c>
      <c r="AD28" s="8">
        <v>0</v>
      </c>
      <c r="AE28" s="8">
        <v>4401.8251667022714</v>
      </c>
      <c r="AF28" s="8">
        <v>0</v>
      </c>
      <c r="AG28" s="11">
        <v>102.16</v>
      </c>
      <c r="AM28" t="s">
        <v>117</v>
      </c>
      <c r="AN28" s="8">
        <v>42000</v>
      </c>
      <c r="AO28" s="8">
        <f t="shared" si="79"/>
        <v>12892.478736263361</v>
      </c>
      <c r="AU28" s="11">
        <f>AG66</f>
        <v>22.539000000000001</v>
      </c>
      <c r="AV28" t="s">
        <v>109</v>
      </c>
      <c r="AW28" s="8">
        <f t="shared" ref="AW28:AX28" si="101">AN7</f>
        <v>7827.11</v>
      </c>
      <c r="AX28" s="8">
        <f t="shared" si="101"/>
        <v>73533.116025285795</v>
      </c>
      <c r="AY28">
        <v>0</v>
      </c>
      <c r="AZ28" s="8">
        <f t="shared" si="84"/>
        <v>10424.644615411766</v>
      </c>
      <c r="BA28">
        <v>0</v>
      </c>
      <c r="BB28">
        <v>2003</v>
      </c>
      <c r="BC28" s="8">
        <v>7827.11</v>
      </c>
      <c r="BD28" s="8">
        <f t="shared" si="86"/>
        <v>5007.9501618716758</v>
      </c>
      <c r="BE28" s="8">
        <f t="shared" si="87"/>
        <v>3790.2537152312952</v>
      </c>
      <c r="BT28" s="56">
        <v>36557</v>
      </c>
      <c r="BU28" s="8">
        <v>21848.020599365234</v>
      </c>
      <c r="BV28" s="8">
        <v>0</v>
      </c>
      <c r="BW28" s="8">
        <v>0</v>
      </c>
      <c r="CB28" s="58">
        <v>40118</v>
      </c>
      <c r="CC28" s="8">
        <f t="shared" si="74"/>
        <v>8268.994179725647</v>
      </c>
      <c r="CD28">
        <v>0</v>
      </c>
      <c r="CE28" s="8">
        <v>0</v>
      </c>
      <c r="CF28">
        <v>31.224830767604054</v>
      </c>
      <c r="CG28">
        <v>12</v>
      </c>
      <c r="CI28" s="58">
        <v>40118</v>
      </c>
      <c r="CJ28" s="8">
        <f t="shared" si="75"/>
        <v>0</v>
      </c>
      <c r="CK28" s="8">
        <f t="shared" si="76"/>
        <v>169.60751383334562</v>
      </c>
      <c r="CL28" s="8">
        <f t="shared" si="77"/>
        <v>132.13975060761473</v>
      </c>
      <c r="CN28" t="str">
        <v>2007-08</v>
      </c>
      <c r="CO28" s="8">
        <v>4890.3548000616838</v>
      </c>
      <c r="CP28" s="11">
        <f t="shared" si="89"/>
        <v>380.7294117647059</v>
      </c>
      <c r="CQ28" s="11">
        <f t="shared" si="90"/>
        <v>121.79544126643418</v>
      </c>
      <c r="CR28" s="20">
        <f t="shared" si="91"/>
        <v>7.7820455873356584</v>
      </c>
      <c r="CS28" s="8">
        <f t="shared" si="92"/>
        <v>628.41507996562586</v>
      </c>
      <c r="DI28" t="s">
        <v>416</v>
      </c>
      <c r="DJ28" t="s">
        <v>174</v>
      </c>
      <c r="DK28" t="s">
        <v>463</v>
      </c>
      <c r="DL28" t="s">
        <v>464</v>
      </c>
      <c r="DM28" t="s">
        <v>506</v>
      </c>
      <c r="DW28" s="56">
        <v>36586</v>
      </c>
      <c r="DX28">
        <v>2356.6038942337032</v>
      </c>
      <c r="DY28">
        <v>594.85263824462913</v>
      </c>
      <c r="DZ28" s="8">
        <v>0</v>
      </c>
      <c r="EF28" s="56">
        <v>37561</v>
      </c>
      <c r="EG28" s="8">
        <f t="shared" si="96"/>
        <v>20855.422476694006</v>
      </c>
      <c r="EH28">
        <v>1</v>
      </c>
      <c r="EI28">
        <v>0</v>
      </c>
      <c r="EK28">
        <v>1928.4036211927453</v>
      </c>
      <c r="EL28">
        <v>1322.6537311617885</v>
      </c>
      <c r="EM28">
        <v>1.2341212666964E-2</v>
      </c>
      <c r="EQ28" s="56">
        <f t="shared" si="97"/>
        <v>37561</v>
      </c>
      <c r="ER28" s="8">
        <f t="shared" si="98"/>
        <v>2110.1590801762873</v>
      </c>
      <c r="ES28" s="8">
        <f t="shared" si="99"/>
        <v>7821.0119072627831</v>
      </c>
      <c r="FE28" s="56">
        <v>36586</v>
      </c>
      <c r="FF28" s="8" t="e">
        <f>DX28+#REF!+#REF!</f>
        <v>#REF!</v>
      </c>
      <c r="FG28" s="8" t="e">
        <f>#REF!+DY28+#REF!</f>
        <v>#REF!</v>
      </c>
      <c r="FH28" s="8">
        <f t="shared" si="11"/>
        <v>0</v>
      </c>
    </row>
    <row r="29" spans="1:167" x14ac:dyDescent="0.25">
      <c r="A29" t="s">
        <v>111</v>
      </c>
      <c r="B29" s="8">
        <v>314985.55623372272</v>
      </c>
      <c r="C29" s="8">
        <v>8443.4398270826732</v>
      </c>
      <c r="D29" s="8">
        <v>4722.6765384688024</v>
      </c>
      <c r="F29" t="s">
        <v>111</v>
      </c>
      <c r="G29" s="8">
        <f t="shared" si="81"/>
        <v>323428.9960608054</v>
      </c>
      <c r="H29" s="8">
        <v>16000</v>
      </c>
      <c r="I29" s="8">
        <v>156000</v>
      </c>
      <c r="J29" s="20">
        <f t="shared" si="82"/>
        <v>9.75</v>
      </c>
      <c r="AB29">
        <v>2000</v>
      </c>
      <c r="AC29">
        <v>9</v>
      </c>
      <c r="AD29" s="8">
        <v>31.375753641128625</v>
      </c>
      <c r="AE29" s="8">
        <v>1119.7830848693848</v>
      </c>
      <c r="AF29" s="8">
        <v>0</v>
      </c>
      <c r="AG29" s="11">
        <v>102.16</v>
      </c>
      <c r="AH29" s="11"/>
      <c r="AI29" s="11"/>
      <c r="AM29" t="s">
        <v>118</v>
      </c>
      <c r="AN29" s="8">
        <v>41000</v>
      </c>
      <c r="AO29" s="8">
        <f t="shared" si="79"/>
        <v>15117.573148303083</v>
      </c>
      <c r="AU29" s="11">
        <f>AG78</f>
        <v>6.5811000000000002</v>
      </c>
      <c r="AV29" t="s">
        <v>110</v>
      </c>
      <c r="AW29" s="8">
        <f t="shared" ref="AW29:AX29" si="102">AN8</f>
        <v>2410.5</v>
      </c>
      <c r="AX29" s="8">
        <f t="shared" si="102"/>
        <v>73183.970255484819</v>
      </c>
      <c r="AY29">
        <v>0</v>
      </c>
      <c r="AZ29" s="8">
        <f t="shared" si="84"/>
        <v>1589.2710499763486</v>
      </c>
      <c r="BA29">
        <v>0</v>
      </c>
      <c r="BB29">
        <v>2004</v>
      </c>
      <c r="BC29" s="8">
        <v>2410.5</v>
      </c>
      <c r="BD29" s="8">
        <f t="shared" si="86"/>
        <v>3036.1455686147888</v>
      </c>
      <c r="BE29" s="8">
        <f t="shared" si="87"/>
        <v>2488.6764973146824</v>
      </c>
      <c r="BT29" s="56">
        <v>36586</v>
      </c>
      <c r="BU29" s="8">
        <v>3498.0604515075702</v>
      </c>
      <c r="BV29" s="8">
        <v>1474.340454101567</v>
      </c>
      <c r="BW29" s="8">
        <v>0</v>
      </c>
      <c r="CB29" s="58">
        <v>40483</v>
      </c>
      <c r="CC29" s="8">
        <f t="shared" si="74"/>
        <v>106822.76210653766</v>
      </c>
      <c r="CD29">
        <v>0</v>
      </c>
      <c r="CE29" s="8">
        <v>0</v>
      </c>
      <c r="CF29">
        <v>339365390.31655478</v>
      </c>
      <c r="CG29">
        <v>65210676.626369104</v>
      </c>
      <c r="CI29" s="58">
        <v>40483</v>
      </c>
      <c r="CJ29" s="8">
        <f t="shared" si="75"/>
        <v>1233.1897684172309</v>
      </c>
      <c r="CK29" s="8">
        <f t="shared" si="76"/>
        <v>2191.0697610748471</v>
      </c>
      <c r="CL29" s="8">
        <f t="shared" si="77"/>
        <v>1707.0435457051897</v>
      </c>
      <c r="CN29" t="str">
        <v>2008-09</v>
      </c>
      <c r="CO29" s="8">
        <v>5106.5773182621733</v>
      </c>
      <c r="CP29" s="11">
        <f t="shared" si="89"/>
        <v>222.40941184548771</v>
      </c>
      <c r="CQ29" s="11">
        <f t="shared" si="90"/>
        <v>-36.524558652784009</v>
      </c>
      <c r="CR29" s="20">
        <f t="shared" si="91"/>
        <v>9.3652455865278394</v>
      </c>
      <c r="CS29" s="8">
        <f t="shared" si="92"/>
        <v>545.26891698474242</v>
      </c>
      <c r="DH29" t="str">
        <f t="array" ref="DH29:DH39">TRANSPOSE(DH21:DR21)</f>
        <v>2003-04</v>
      </c>
      <c r="DI29" s="8">
        <f t="array" ref="DI29:DI39">TRANSPOSE(DH25:DR25)</f>
        <v>33572</v>
      </c>
      <c r="DJ29" s="11">
        <f>DV6</f>
        <v>160.06601974339159</v>
      </c>
      <c r="DK29" s="11">
        <f>DJ29-$DV$19</f>
        <v>-103.07845854744753</v>
      </c>
      <c r="DL29" s="20">
        <f>$DR$30-(DK29/100)</f>
        <v>10.030784585474475</v>
      </c>
      <c r="DM29" s="8">
        <f>DI29/DL29</f>
        <v>3346.8967171935315</v>
      </c>
      <c r="DW29" s="56">
        <v>36617</v>
      </c>
      <c r="DX29">
        <v>0</v>
      </c>
      <c r="DY29">
        <v>979.63977050781295</v>
      </c>
      <c r="DZ29" s="8">
        <v>330.41806411743141</v>
      </c>
      <c r="EF29" s="56">
        <v>37926</v>
      </c>
      <c r="EG29" s="8">
        <f t="shared" si="96"/>
        <v>30686.627013891935</v>
      </c>
      <c r="EH29">
        <v>0</v>
      </c>
      <c r="EI29">
        <v>0</v>
      </c>
      <c r="EK29">
        <v>0.89065265705750885</v>
      </c>
      <c r="EL29">
        <v>2266.7665397649253</v>
      </c>
      <c r="EM29" t="e">
        <v>#N/A</v>
      </c>
      <c r="EQ29" s="56">
        <f t="shared" si="97"/>
        <v>37926</v>
      </c>
      <c r="ER29" s="8">
        <f t="shared" si="98"/>
        <v>471.33544747643202</v>
      </c>
      <c r="ES29" s="8">
        <f t="shared" si="99"/>
        <v>870.13573011516689</v>
      </c>
      <c r="FE29" s="56">
        <v>36617</v>
      </c>
      <c r="FF29" s="8" t="e">
        <f>DX29+#REF!+#REF!</f>
        <v>#REF!</v>
      </c>
      <c r="FG29" s="8" t="e">
        <f>#REF!+DY29+#REF!</f>
        <v>#REF!</v>
      </c>
      <c r="FH29" s="8">
        <f t="shared" si="11"/>
        <v>330.41806411743141</v>
      </c>
    </row>
    <row r="30" spans="1:167" x14ac:dyDescent="0.25">
      <c r="A30" t="s">
        <v>112</v>
      </c>
      <c r="B30" s="8">
        <v>432763.95722621167</v>
      </c>
      <c r="C30" s="8">
        <v>19671.349969387062</v>
      </c>
      <c r="D30" s="8">
        <v>3510.74515851459</v>
      </c>
      <c r="F30" t="s">
        <v>112</v>
      </c>
      <c r="G30" s="8">
        <f t="shared" si="81"/>
        <v>452435.30719559873</v>
      </c>
      <c r="H30" s="8">
        <v>13900</v>
      </c>
      <c r="I30" s="8">
        <v>135000</v>
      </c>
      <c r="J30" s="20">
        <f t="shared" si="82"/>
        <v>9.7122302158273381</v>
      </c>
      <c r="AB30">
        <v>2000</v>
      </c>
      <c r="AC30">
        <v>10</v>
      </c>
      <c r="AD30" s="8">
        <v>27.923846244812012</v>
      </c>
      <c r="AE30" s="8">
        <v>2890.8537030220077</v>
      </c>
      <c r="AF30" s="8">
        <v>0</v>
      </c>
      <c r="AG30" s="11">
        <v>102.16</v>
      </c>
      <c r="AH30" s="11"/>
      <c r="AI30" s="11"/>
      <c r="AN30" s="8"/>
      <c r="AO30" s="8"/>
      <c r="AU30" s="11">
        <f>AG90</f>
        <v>25.343</v>
      </c>
      <c r="AV30" t="s">
        <v>111</v>
      </c>
      <c r="AW30" s="8">
        <f t="shared" ref="AW30:AX30" si="103">AN9</f>
        <v>8353.27</v>
      </c>
      <c r="AX30" s="8">
        <f t="shared" si="103"/>
        <v>158742.9722597599</v>
      </c>
      <c r="AY30">
        <v>0</v>
      </c>
      <c r="AZ30" s="8">
        <f t="shared" si="84"/>
        <v>11687.210619851952</v>
      </c>
      <c r="BA30">
        <v>0</v>
      </c>
      <c r="BB30">
        <v>2005</v>
      </c>
      <c r="BC30" s="8">
        <v>8353.27</v>
      </c>
      <c r="BD30" s="8">
        <f t="shared" si="86"/>
        <v>8412.6655673046407</v>
      </c>
      <c r="BE30" s="8">
        <f t="shared" si="87"/>
        <v>6601.9955848461159</v>
      </c>
      <c r="BT30" s="56">
        <v>36617</v>
      </c>
      <c r="BU30" s="8">
        <v>0</v>
      </c>
      <c r="BV30" s="8">
        <v>673.67847442626999</v>
      </c>
      <c r="BW30" s="8">
        <v>0</v>
      </c>
      <c r="CB30" s="58">
        <v>40848</v>
      </c>
      <c r="CC30" s="8">
        <f t="shared" si="74"/>
        <v>71888.567722320498</v>
      </c>
      <c r="CD30">
        <v>0</v>
      </c>
      <c r="CE30" s="8">
        <v>1</v>
      </c>
      <c r="CI30" s="58">
        <v>40848</v>
      </c>
      <c r="CJ30" s="8">
        <f t="shared" si="75"/>
        <v>8503.4024183666224</v>
      </c>
      <c r="CK30" s="8">
        <f t="shared" si="76"/>
        <v>1474.5253146166101</v>
      </c>
      <c r="CL30" s="8">
        <f t="shared" si="77"/>
        <v>7384.9091087229035</v>
      </c>
      <c r="CN30" t="str">
        <v>2009-10</v>
      </c>
      <c r="CO30" s="8">
        <v>4332.9074574084234</v>
      </c>
      <c r="CP30" s="11">
        <f t="shared" si="89"/>
        <v>372.9588239445406</v>
      </c>
      <c r="CQ30" s="11">
        <f t="shared" si="90"/>
        <v>114.02485344626888</v>
      </c>
      <c r="CR30" s="20">
        <f t="shared" si="91"/>
        <v>7.8597514655373111</v>
      </c>
      <c r="CS30" s="8">
        <f t="shared" si="92"/>
        <v>551.27792226089377</v>
      </c>
      <c r="DH30" t="str">
        <v>2004-05</v>
      </c>
      <c r="DI30" s="8">
        <v>42273</v>
      </c>
      <c r="DJ30" s="11">
        <f t="shared" ref="DJ30:DJ39" si="104">DV7</f>
        <v>213.11650485436894</v>
      </c>
      <c r="DK30" s="11">
        <f t="shared" ref="DK30:DK44" si="105">DJ30-$DV$19</f>
        <v>-50.027973436470177</v>
      </c>
      <c r="DL30" s="20">
        <f t="shared" ref="DL30:DL44" si="106">$DR$30-(DK30/100)</f>
        <v>9.5002797343647014</v>
      </c>
      <c r="DM30" s="8">
        <f t="shared" ref="DM30:DM44" si="107">DI30/DL30</f>
        <v>4449.6584502758187</v>
      </c>
      <c r="DP30" t="s">
        <v>461</v>
      </c>
      <c r="DR30">
        <v>9</v>
      </c>
      <c r="DW30" s="56">
        <v>36647</v>
      </c>
      <c r="DX30">
        <v>0</v>
      </c>
      <c r="DY30">
        <v>0</v>
      </c>
      <c r="DZ30" s="8">
        <v>97.970889568328971</v>
      </c>
      <c r="EF30" s="56">
        <v>38292</v>
      </c>
      <c r="EG30" s="8">
        <f t="shared" si="96"/>
        <v>28183.002410352226</v>
      </c>
      <c r="EH30">
        <v>0</v>
      </c>
      <c r="EI30">
        <v>0</v>
      </c>
      <c r="EK30">
        <v>29.865621983411167</v>
      </c>
      <c r="EL30">
        <v>11</v>
      </c>
      <c r="EM30" t="e">
        <v>#N/A</v>
      </c>
      <c r="EQ30" s="56">
        <f t="shared" si="97"/>
        <v>38292</v>
      </c>
      <c r="ER30" s="8">
        <f t="shared" si="98"/>
        <v>0</v>
      </c>
      <c r="ES30" s="8">
        <f t="shared" si="99"/>
        <v>799.14411473335554</v>
      </c>
      <c r="FE30" s="56">
        <v>36647</v>
      </c>
      <c r="FF30" s="8" t="e">
        <f>DX30+#REF!+#REF!</f>
        <v>#REF!</v>
      </c>
      <c r="FG30" s="8" t="e">
        <f>#REF!+DY30+#REF!</f>
        <v>#REF!</v>
      </c>
      <c r="FH30" s="8">
        <f t="shared" si="11"/>
        <v>97.970889568328971</v>
      </c>
    </row>
    <row r="31" spans="1:167" x14ac:dyDescent="0.25">
      <c r="A31" t="s">
        <v>113</v>
      </c>
      <c r="B31" s="8">
        <v>129691.78285360899</v>
      </c>
      <c r="C31" s="8">
        <v>30500.946503549807</v>
      </c>
      <c r="D31" s="8">
        <v>3446.5016381628807</v>
      </c>
      <c r="F31" t="s">
        <v>113</v>
      </c>
      <c r="G31" s="8">
        <f t="shared" si="81"/>
        <v>160192.72935715879</v>
      </c>
      <c r="H31" s="8">
        <v>3210</v>
      </c>
      <c r="I31" s="8">
        <v>30500</v>
      </c>
      <c r="J31" s="20">
        <f t="shared" si="82"/>
        <v>9.5015576323987538</v>
      </c>
      <c r="AB31">
        <v>2000</v>
      </c>
      <c r="AC31">
        <v>11</v>
      </c>
      <c r="AD31" s="8">
        <v>1161.1073455810551</v>
      </c>
      <c r="AE31" s="8">
        <v>15429.965065002449</v>
      </c>
      <c r="AF31" s="8">
        <v>0</v>
      </c>
      <c r="AG31" s="11">
        <v>102.16</v>
      </c>
      <c r="AH31" s="11"/>
      <c r="AI31" s="11"/>
      <c r="AU31" s="11">
        <f>AG102</f>
        <v>74.637</v>
      </c>
      <c r="AV31" t="s">
        <v>112</v>
      </c>
      <c r="AW31" s="8">
        <f t="shared" ref="AW31:AX31" si="108">AN10</f>
        <v>6947.670000000001</v>
      </c>
      <c r="AX31" s="8">
        <f t="shared" si="108"/>
        <v>193126.78822884901</v>
      </c>
      <c r="AY31">
        <v>0</v>
      </c>
      <c r="AZ31" s="8">
        <f t="shared" si="84"/>
        <v>442.83332812786085</v>
      </c>
      <c r="BA31">
        <v>0</v>
      </c>
      <c r="BB31">
        <v>2006</v>
      </c>
      <c r="BC31" s="8">
        <v>6947.670000000001</v>
      </c>
      <c r="BD31" s="8">
        <f t="shared" si="86"/>
        <v>7180.4416994052253</v>
      </c>
      <c r="BE31" s="8">
        <f t="shared" si="87"/>
        <v>6019.3985157604811</v>
      </c>
      <c r="BT31" s="56">
        <v>36647</v>
      </c>
      <c r="BU31" s="8">
        <v>0</v>
      </c>
      <c r="BV31" s="8">
        <v>0</v>
      </c>
      <c r="BW31" s="8">
        <v>0</v>
      </c>
      <c r="CB31" s="58">
        <v>41214</v>
      </c>
      <c r="CC31" s="8">
        <f t="shared" si="74"/>
        <v>136150.70012855524</v>
      </c>
      <c r="CD31">
        <v>0</v>
      </c>
      <c r="CE31" s="8">
        <v>1</v>
      </c>
      <c r="CI31" s="58">
        <v>41214</v>
      </c>
      <c r="CJ31" s="8">
        <f t="shared" si="75"/>
        <v>7293.3341842067794</v>
      </c>
      <c r="CK31" s="8">
        <f t="shared" si="76"/>
        <v>2792.6228092035967</v>
      </c>
      <c r="CL31" s="8">
        <f t="shared" si="77"/>
        <v>8411.8274938505019</v>
      </c>
      <c r="CN31" t="str">
        <v>2010-11</v>
      </c>
      <c r="CO31" s="8">
        <v>1487.3888672401906</v>
      </c>
      <c r="CP31" s="11">
        <f t="shared" si="89"/>
        <v>381.74352875877827</v>
      </c>
      <c r="CQ31" s="11">
        <f t="shared" si="90"/>
        <v>122.80955826050655</v>
      </c>
      <c r="CR31" s="20">
        <f t="shared" si="91"/>
        <v>7.7719044173949348</v>
      </c>
      <c r="CS31" s="8">
        <f t="shared" si="92"/>
        <v>191.38023158276934</v>
      </c>
      <c r="DH31" t="str">
        <v>2005-06</v>
      </c>
      <c r="DI31" s="8">
        <v>33341</v>
      </c>
      <c r="DJ31" s="11">
        <f t="shared" si="104"/>
        <v>164.22815539073017</v>
      </c>
      <c r="DK31" s="11">
        <f t="shared" si="105"/>
        <v>-98.916322900108952</v>
      </c>
      <c r="DL31" s="20">
        <f t="shared" si="106"/>
        <v>9.9891632290010897</v>
      </c>
      <c r="DM31" s="8">
        <f t="shared" si="107"/>
        <v>3337.7170074869305</v>
      </c>
      <c r="DP31" t="s">
        <v>462</v>
      </c>
      <c r="DW31" s="56">
        <v>36678</v>
      </c>
      <c r="DX31">
        <v>0</v>
      </c>
      <c r="DY31">
        <v>0</v>
      </c>
      <c r="DZ31" s="8">
        <v>61.348385810852065</v>
      </c>
      <c r="EF31" s="56">
        <v>38657</v>
      </c>
      <c r="EG31" s="8">
        <f t="shared" si="96"/>
        <v>74074.216557025924</v>
      </c>
      <c r="EH31">
        <v>0</v>
      </c>
      <c r="EI31">
        <v>0</v>
      </c>
      <c r="EK31">
        <v>460369353.43324536</v>
      </c>
      <c r="EL31">
        <v>56520536.003776379</v>
      </c>
      <c r="EM31" t="e">
        <v>#N/A</v>
      </c>
      <c r="EQ31" s="56">
        <f t="shared" si="97"/>
        <v>38657</v>
      </c>
      <c r="ER31" s="8">
        <f t="shared" si="98"/>
        <v>1281.525880828053</v>
      </c>
      <c r="ES31" s="8">
        <f t="shared" si="99"/>
        <v>2100.4140493309324</v>
      </c>
      <c r="FE31" s="56">
        <v>36678</v>
      </c>
      <c r="FF31" s="8" t="e">
        <f>DX31+#REF!+#REF!</f>
        <v>#REF!</v>
      </c>
      <c r="FG31" s="8" t="e">
        <f>#REF!+DY31+#REF!</f>
        <v>#REF!</v>
      </c>
      <c r="FH31" s="8">
        <f t="shared" si="11"/>
        <v>61.348385810852065</v>
      </c>
    </row>
    <row r="32" spans="1:167" x14ac:dyDescent="0.25">
      <c r="A32" t="s">
        <v>114</v>
      </c>
      <c r="B32" s="8">
        <v>134642.75455491617</v>
      </c>
      <c r="C32" s="8">
        <v>6189.4106215238562</v>
      </c>
      <c r="D32" s="8">
        <v>3417.6877715960122</v>
      </c>
      <c r="F32" t="s">
        <v>114</v>
      </c>
      <c r="G32" s="8">
        <f t="shared" si="81"/>
        <v>140832.16517644003</v>
      </c>
      <c r="H32" s="8">
        <v>4150</v>
      </c>
      <c r="I32" s="8">
        <v>37500</v>
      </c>
      <c r="J32" s="20">
        <f t="shared" si="82"/>
        <v>9.0361445783132535</v>
      </c>
      <c r="AB32">
        <v>2000</v>
      </c>
      <c r="AC32">
        <v>12</v>
      </c>
      <c r="AD32" s="8">
        <v>37161.574550151796</v>
      </c>
      <c r="AE32" s="8">
        <v>425.81674385070812</v>
      </c>
      <c r="AF32" s="8">
        <v>0</v>
      </c>
      <c r="AG32" s="11">
        <v>102.16</v>
      </c>
      <c r="AU32" s="11">
        <f>AG114</f>
        <v>16.295000000000002</v>
      </c>
      <c r="AV32" t="s">
        <v>113</v>
      </c>
      <c r="AW32" s="8">
        <f t="shared" ref="AW32:AX32" si="109">AN11</f>
        <v>294.15999999999997</v>
      </c>
      <c r="AX32" s="8">
        <f t="shared" si="109"/>
        <v>58903.096612824142</v>
      </c>
      <c r="AY32">
        <v>0</v>
      </c>
      <c r="AZ32" s="8">
        <f t="shared" si="84"/>
        <v>2978.4039565920839</v>
      </c>
      <c r="BA32">
        <v>0</v>
      </c>
      <c r="BB32">
        <v>2007</v>
      </c>
      <c r="BC32" s="8">
        <v>294.15999999999997</v>
      </c>
      <c r="BD32" s="8">
        <f t="shared" si="86"/>
        <v>2820.4460082106098</v>
      </c>
      <c r="BE32" s="8">
        <f t="shared" si="87"/>
        <v>2251.2991765741344</v>
      </c>
      <c r="BT32" s="56">
        <v>36678</v>
      </c>
      <c r="BU32" s="8">
        <v>0</v>
      </c>
      <c r="BV32" s="8">
        <v>0</v>
      </c>
      <c r="BW32" s="8">
        <v>0</v>
      </c>
      <c r="CN32" t="str">
        <v>2011-12</v>
      </c>
      <c r="CO32" s="8">
        <v>2113.1089130356304</v>
      </c>
      <c r="CP32" s="11">
        <f t="shared" si="89"/>
        <v>466.10588257733514</v>
      </c>
      <c r="CQ32" s="11">
        <f t="shared" si="90"/>
        <v>207.17191207906342</v>
      </c>
      <c r="CR32" s="20">
        <f t="shared" si="91"/>
        <v>6.9282808792093658</v>
      </c>
      <c r="CS32" s="8">
        <f t="shared" si="92"/>
        <v>304.99758163337799</v>
      </c>
      <c r="DH32" t="str">
        <v>2006-07</v>
      </c>
      <c r="DI32" s="8">
        <v>32086.374785019001</v>
      </c>
      <c r="DJ32" s="11">
        <f t="shared" si="104"/>
        <v>194.81262127404074</v>
      </c>
      <c r="DK32" s="11">
        <f t="shared" si="105"/>
        <v>-68.331857016798381</v>
      </c>
      <c r="DL32" s="20">
        <f t="shared" si="106"/>
        <v>9.6833185701679838</v>
      </c>
      <c r="DM32" s="8">
        <f t="shared" si="107"/>
        <v>3313.5721553011317</v>
      </c>
      <c r="DW32" s="56">
        <v>36708</v>
      </c>
      <c r="DX32">
        <v>16.452585041522955</v>
      </c>
      <c r="DY32">
        <v>0</v>
      </c>
      <c r="DZ32" s="8">
        <v>60.859169602394147</v>
      </c>
      <c r="EF32" s="56">
        <v>39022</v>
      </c>
      <c r="EG32" s="8">
        <f t="shared" si="96"/>
        <v>82581.207894816995</v>
      </c>
      <c r="EH32">
        <v>0</v>
      </c>
      <c r="EI32">
        <v>0</v>
      </c>
      <c r="EQ32" s="56">
        <f t="shared" si="97"/>
        <v>39022</v>
      </c>
      <c r="ER32" s="8">
        <f t="shared" si="98"/>
        <v>732.21358934387376</v>
      </c>
      <c r="ES32" s="8">
        <f t="shared" si="99"/>
        <v>2341.6343410052573</v>
      </c>
      <c r="FE32" s="56">
        <v>36708</v>
      </c>
      <c r="FF32" s="8" t="e">
        <f>DX32+#REF!+#REF!</f>
        <v>#REF!</v>
      </c>
      <c r="FG32" s="8" t="e">
        <f>#REF!+DY32+#REF!</f>
        <v>#REF!</v>
      </c>
      <c r="FH32" s="8">
        <f t="shared" si="11"/>
        <v>60.859169602394147</v>
      </c>
    </row>
    <row r="33" spans="1:167" x14ac:dyDescent="0.25">
      <c r="A33" t="s">
        <v>115</v>
      </c>
      <c r="B33" s="8">
        <v>44022.810470396194</v>
      </c>
      <c r="C33" s="8">
        <v>140.94969940185544</v>
      </c>
      <c r="D33" s="8">
        <v>3537.4939979186738</v>
      </c>
      <c r="F33" t="s">
        <v>115</v>
      </c>
      <c r="G33" s="8">
        <f t="shared" si="81"/>
        <v>44163.76016979805</v>
      </c>
      <c r="H33" s="8">
        <v>6200</v>
      </c>
      <c r="I33" s="8">
        <v>60450</v>
      </c>
      <c r="J33" s="20">
        <f t="shared" si="82"/>
        <v>9.75</v>
      </c>
      <c r="AB33">
        <v>2001</v>
      </c>
      <c r="AC33">
        <v>1</v>
      </c>
      <c r="AD33" s="8">
        <v>77782.016726851507</v>
      </c>
      <c r="AE33" s="8">
        <v>352.94654655456532</v>
      </c>
      <c r="AF33" s="8">
        <v>0</v>
      </c>
      <c r="AG33" s="11">
        <v>102.16</v>
      </c>
      <c r="AU33" s="11">
        <f>AG126</f>
        <v>10.787000000000001</v>
      </c>
      <c r="AV33" t="s">
        <v>114</v>
      </c>
      <c r="AW33" s="8">
        <f t="shared" ref="AW33:AX33" si="110">AN12</f>
        <v>1305.8499999999999</v>
      </c>
      <c r="AX33" s="8">
        <f t="shared" si="110"/>
        <v>59592.572771675885</v>
      </c>
      <c r="AY33">
        <v>0</v>
      </c>
      <c r="AZ33" s="8">
        <f t="shared" si="84"/>
        <v>56.749084472656236</v>
      </c>
      <c r="BA33">
        <v>0</v>
      </c>
      <c r="BB33">
        <v>2008</v>
      </c>
      <c r="BC33" s="8">
        <v>1305.8499999999999</v>
      </c>
      <c r="BD33" s="8">
        <f t="shared" si="86"/>
        <v>2197.9336113742588</v>
      </c>
      <c r="BE33" s="8">
        <f t="shared" si="87"/>
        <v>1845.716046692814</v>
      </c>
      <c r="BT33" s="56">
        <v>36708</v>
      </c>
      <c r="BU33" s="8">
        <v>0</v>
      </c>
      <c r="BV33" s="8">
        <v>0</v>
      </c>
      <c r="BW33" s="8">
        <v>0</v>
      </c>
      <c r="CI33" s="16" t="s">
        <v>323</v>
      </c>
      <c r="CJ33" s="24" t="s">
        <v>484</v>
      </c>
      <c r="CK33" s="24" t="s">
        <v>483</v>
      </c>
      <c r="CL33" s="24" t="s">
        <v>271</v>
      </c>
      <c r="CN33" t="str">
        <v xml:space="preserve">2012-13 </v>
      </c>
      <c r="CO33" s="8">
        <v>4226.8482612449952</v>
      </c>
      <c r="CP33" s="11">
        <f t="shared" si="89"/>
        <v>142.7811760229223</v>
      </c>
      <c r="CQ33" s="11">
        <f t="shared" si="90"/>
        <v>-116.15279447534942</v>
      </c>
      <c r="CR33" s="20">
        <f t="shared" si="91"/>
        <v>10.161527944753495</v>
      </c>
      <c r="CS33" s="8">
        <f t="shared" si="92"/>
        <v>415.96581579322054</v>
      </c>
      <c r="DH33" t="str">
        <v>2007-08</v>
      </c>
      <c r="DI33" s="8">
        <v>31028.197767523514</v>
      </c>
      <c r="DJ33" s="11">
        <f t="shared" si="104"/>
        <v>366.7087378640777</v>
      </c>
      <c r="DK33" s="11">
        <f t="shared" si="105"/>
        <v>103.56425957323859</v>
      </c>
      <c r="DL33" s="20">
        <f t="shared" si="106"/>
        <v>7.9643574042676146</v>
      </c>
      <c r="DM33" s="8">
        <f t="shared" si="107"/>
        <v>3895.8821399573794</v>
      </c>
      <c r="DW33" s="56">
        <v>36739</v>
      </c>
      <c r="DX33">
        <v>38.028615832328796</v>
      </c>
      <c r="DY33">
        <v>43.759225428104436</v>
      </c>
      <c r="DZ33" s="8">
        <v>75.938641548156781</v>
      </c>
      <c r="EF33" s="56">
        <v>39387</v>
      </c>
      <c r="EG33" s="8">
        <f t="shared" si="96"/>
        <v>22336.865472311161</v>
      </c>
      <c r="EH33">
        <v>0</v>
      </c>
      <c r="EI33">
        <v>0</v>
      </c>
      <c r="EQ33" s="56">
        <f t="shared" si="97"/>
        <v>39387</v>
      </c>
      <c r="ER33" s="8">
        <f t="shared" si="98"/>
        <v>0</v>
      </c>
      <c r="ES33" s="8">
        <f t="shared" si="99"/>
        <v>633.37377344974891</v>
      </c>
      <c r="FE33" s="56">
        <v>36739</v>
      </c>
      <c r="FF33" s="8" t="e">
        <f>DX33+#REF!+#REF!</f>
        <v>#REF!</v>
      </c>
      <c r="FG33" s="8" t="e">
        <f>#REF!+DY33+#REF!</f>
        <v>#REF!</v>
      </c>
      <c r="FH33" s="8">
        <f t="shared" si="11"/>
        <v>75.938641548156781</v>
      </c>
    </row>
    <row r="34" spans="1:167" x14ac:dyDescent="0.25">
      <c r="A34" t="s">
        <v>116</v>
      </c>
      <c r="B34" s="8">
        <v>472039.92113562673</v>
      </c>
      <c r="C34" s="8">
        <v>74680.290065795198</v>
      </c>
      <c r="D34" s="8">
        <v>4206.184998046605</v>
      </c>
      <c r="F34" t="s">
        <v>116</v>
      </c>
      <c r="G34" s="8">
        <f t="shared" si="81"/>
        <v>546720.21120142192</v>
      </c>
      <c r="H34" s="8">
        <v>16800</v>
      </c>
      <c r="I34" s="8">
        <v>156240</v>
      </c>
      <c r="J34" s="20">
        <f t="shared" si="82"/>
        <v>9.3000000000000007</v>
      </c>
      <c r="AB34">
        <v>2001</v>
      </c>
      <c r="AC34">
        <v>2</v>
      </c>
      <c r="AD34" s="8">
        <v>67641.715322732911</v>
      </c>
      <c r="AE34" s="8">
        <v>161.9184646606441</v>
      </c>
      <c r="AF34" s="8">
        <v>0</v>
      </c>
      <c r="AG34" s="11">
        <v>102.16</v>
      </c>
      <c r="AU34" s="11">
        <f>AG138</f>
        <v>10.63</v>
      </c>
      <c r="AV34" t="s">
        <v>115</v>
      </c>
      <c r="AW34" s="8">
        <f t="shared" ref="AW34:AX34" si="111">AN13</f>
        <v>2388.0499999999997</v>
      </c>
      <c r="AX34" s="8">
        <f t="shared" si="111"/>
        <v>18889.898554503918</v>
      </c>
      <c r="AY34">
        <v>0</v>
      </c>
      <c r="AZ34" s="8">
        <f t="shared" si="84"/>
        <v>13545.819396734234</v>
      </c>
      <c r="BA34">
        <v>0</v>
      </c>
      <c r="BB34">
        <v>2009</v>
      </c>
      <c r="BC34" s="8">
        <v>2388.0499999999997</v>
      </c>
      <c r="BD34" s="8">
        <f t="shared" si="86"/>
        <v>3696.134142634437</v>
      </c>
      <c r="BE34" s="8">
        <f t="shared" si="87"/>
        <v>2561.4234453836657</v>
      </c>
      <c r="BT34" s="56">
        <v>36739</v>
      </c>
      <c r="BU34" s="8">
        <v>0</v>
      </c>
      <c r="BV34" s="8">
        <v>5062.1388282775815</v>
      </c>
      <c r="BW34" s="8">
        <v>0</v>
      </c>
      <c r="CI34" s="16"/>
      <c r="CJ34">
        <f t="array" ref="CJ34:CL38">LINEST(CJ18:CJ31,CC18:CE31,0,1)</f>
        <v>6236.1191587121721</v>
      </c>
      <c r="CK34">
        <v>6879.161187540938</v>
      </c>
      <c r="CL34">
        <v>1.5980147976352662E-2</v>
      </c>
      <c r="CN34" t="str">
        <v>2013-14</v>
      </c>
      <c r="CO34" s="8">
        <v>4682.0246291088915</v>
      </c>
      <c r="CP34" s="11">
        <f t="shared" si="89"/>
        <v>248.32352939248085</v>
      </c>
      <c r="CQ34" s="11">
        <f t="shared" si="90"/>
        <v>-10.610441105790869</v>
      </c>
      <c r="CR34" s="20">
        <f t="shared" si="91"/>
        <v>9.1061044110579079</v>
      </c>
      <c r="CS34" s="8">
        <f t="shared" si="92"/>
        <v>514.1632928591639</v>
      </c>
      <c r="DH34" t="str">
        <v>2008-09</v>
      </c>
      <c r="DI34" s="8">
        <v>32634.848695559009</v>
      </c>
      <c r="DJ34" s="11">
        <f t="shared" si="104"/>
        <v>212.16893192865317</v>
      </c>
      <c r="DK34" s="11">
        <f t="shared" si="105"/>
        <v>-50.975546362185952</v>
      </c>
      <c r="DL34" s="20">
        <f t="shared" si="106"/>
        <v>9.5097554636218593</v>
      </c>
      <c r="DM34" s="8">
        <f t="shared" si="107"/>
        <v>3431.7232257336918</v>
      </c>
      <c r="DW34" s="56">
        <v>36770</v>
      </c>
      <c r="DX34">
        <v>191.39618253707886</v>
      </c>
      <c r="DY34">
        <v>13.5729737281799</v>
      </c>
      <c r="DZ34" s="8">
        <v>118.52027893066408</v>
      </c>
      <c r="EF34" s="56">
        <v>39753</v>
      </c>
      <c r="EG34" s="8">
        <f t="shared" si="96"/>
        <v>26137.209814943377</v>
      </c>
      <c r="EH34">
        <v>0</v>
      </c>
      <c r="EI34">
        <v>0</v>
      </c>
      <c r="EQ34" s="56">
        <f t="shared" si="97"/>
        <v>39753</v>
      </c>
      <c r="ER34" s="8">
        <f t="shared" si="98"/>
        <v>0</v>
      </c>
      <c r="ES34" s="8">
        <f t="shared" si="99"/>
        <v>741.13457093877628</v>
      </c>
      <c r="FE34" s="56">
        <v>36770</v>
      </c>
      <c r="FF34" s="8" t="e">
        <f>DX34+#REF!+#REF!</f>
        <v>#REF!</v>
      </c>
      <c r="FG34" s="8" t="e">
        <f>#REF!+DY34+#REF!</f>
        <v>#REF!</v>
      </c>
      <c r="FH34" s="8">
        <f t="shared" si="11"/>
        <v>118.52027893066408</v>
      </c>
    </row>
    <row r="35" spans="1:167" x14ac:dyDescent="0.25">
      <c r="A35" t="s">
        <v>117</v>
      </c>
      <c r="B35" s="8">
        <v>315954.08484606445</v>
      </c>
      <c r="C35" s="8">
        <v>1072.258521258831</v>
      </c>
      <c r="D35" s="8">
        <v>5253.7063426971417</v>
      </c>
      <c r="F35" t="s">
        <v>117</v>
      </c>
      <c r="G35" s="8">
        <f t="shared" si="81"/>
        <v>317026.34336732328</v>
      </c>
      <c r="H35" s="8">
        <v>42000</v>
      </c>
      <c r="I35" s="8">
        <v>462000</v>
      </c>
      <c r="J35" s="20">
        <f t="shared" si="82"/>
        <v>11</v>
      </c>
      <c r="AB35">
        <v>2001</v>
      </c>
      <c r="AC35">
        <v>3</v>
      </c>
      <c r="AD35" s="8">
        <v>46045.21027748286</v>
      </c>
      <c r="AE35" s="8">
        <v>0</v>
      </c>
      <c r="AF35" s="8">
        <v>0</v>
      </c>
      <c r="AG35" s="11">
        <v>102.16</v>
      </c>
      <c r="AH35" s="11">
        <f>SUM(AD27:AD35)</f>
        <v>229850.92382268608</v>
      </c>
      <c r="AI35" s="11">
        <f>SUM(AE27:AE35)</f>
        <v>24783.108774662032</v>
      </c>
      <c r="AU35" s="11">
        <f>AG150</f>
        <v>101.67</v>
      </c>
      <c r="AV35" t="s">
        <v>116</v>
      </c>
      <c r="AW35" s="8">
        <f t="shared" ref="AW35:AX35" si="112">AN14</f>
        <v>7632.76</v>
      </c>
      <c r="AX35" s="8">
        <f t="shared" si="112"/>
        <v>239248.15699941292</v>
      </c>
      <c r="AY35">
        <v>0</v>
      </c>
      <c r="AZ35" s="8">
        <f t="shared" si="84"/>
        <v>28409.999975323681</v>
      </c>
      <c r="BA35">
        <v>0</v>
      </c>
      <c r="BB35">
        <v>2010</v>
      </c>
      <c r="BC35" s="8">
        <v>7632.76</v>
      </c>
      <c r="BD35" s="8">
        <f t="shared" si="86"/>
        <v>15072.732415685365</v>
      </c>
      <c r="BE35" s="8">
        <f t="shared" si="87"/>
        <v>11527.353167813664</v>
      </c>
      <c r="BT35" s="56">
        <v>36770</v>
      </c>
      <c r="BU35" s="8">
        <v>0</v>
      </c>
      <c r="BV35" s="8">
        <v>820.82583618164097</v>
      </c>
      <c r="BW35" s="8">
        <v>0</v>
      </c>
      <c r="CJ35">
        <v>1006.0567803703278</v>
      </c>
      <c r="CK35">
        <v>696.72957487131589</v>
      </c>
      <c r="CL35">
        <v>5.7071053283035203E-3</v>
      </c>
      <c r="DH35" t="str">
        <v>2009-10</v>
      </c>
      <c r="DI35" s="8">
        <v>27893.863826431862</v>
      </c>
      <c r="DJ35" s="11">
        <f t="shared" si="104"/>
        <v>366.35728204597547</v>
      </c>
      <c r="DK35" s="11">
        <f t="shared" si="105"/>
        <v>103.21280375513635</v>
      </c>
      <c r="DL35" s="20">
        <f t="shared" si="106"/>
        <v>7.9678719624486369</v>
      </c>
      <c r="DM35" s="8">
        <f t="shared" si="107"/>
        <v>3500.7921761157031</v>
      </c>
      <c r="DW35" s="56">
        <v>36800</v>
      </c>
      <c r="DX35">
        <v>889.66618728637695</v>
      </c>
      <c r="DY35">
        <v>141.88672161102295</v>
      </c>
      <c r="DZ35" s="8">
        <v>250.45770287513668</v>
      </c>
      <c r="EF35" s="56">
        <v>40118</v>
      </c>
      <c r="EG35" s="8">
        <f t="shared" si="96"/>
        <v>8082.1496472060689</v>
      </c>
      <c r="EH35">
        <v>0</v>
      </c>
      <c r="EI35">
        <v>0</v>
      </c>
      <c r="EQ35" s="56">
        <f t="shared" si="97"/>
        <v>40118</v>
      </c>
      <c r="ER35" s="8">
        <f t="shared" si="98"/>
        <v>0</v>
      </c>
      <c r="ES35" s="8">
        <f t="shared" si="99"/>
        <v>229.17367819500089</v>
      </c>
      <c r="FE35" s="56">
        <v>36800</v>
      </c>
      <c r="FF35" s="8" t="e">
        <f>DX35+#REF!+#REF!</f>
        <v>#REF!</v>
      </c>
      <c r="FG35" s="8" t="e">
        <f>#REF!+DY35+#REF!</f>
        <v>#REF!</v>
      </c>
      <c r="FH35" s="8">
        <f t="shared" si="11"/>
        <v>250.45770287513668</v>
      </c>
    </row>
    <row r="36" spans="1:167" x14ac:dyDescent="0.25">
      <c r="A36" t="s">
        <v>118</v>
      </c>
      <c r="B36" s="8">
        <v>580973.38571612479</v>
      </c>
      <c r="C36" s="8">
        <v>65932.146051800344</v>
      </c>
      <c r="D36" s="8">
        <v>3400.1685996130104</v>
      </c>
      <c r="F36" t="s">
        <v>118</v>
      </c>
      <c r="G36" s="8">
        <f t="shared" si="81"/>
        <v>646905.53176792513</v>
      </c>
      <c r="H36" s="8">
        <v>41000</v>
      </c>
      <c r="I36" s="8">
        <v>451000</v>
      </c>
      <c r="J36" s="20">
        <f t="shared" si="82"/>
        <v>11</v>
      </c>
      <c r="AB36">
        <v>2001</v>
      </c>
      <c r="AC36">
        <v>4</v>
      </c>
      <c r="AD36" s="8">
        <v>15819.969916760923</v>
      </c>
      <c r="AE36" s="8">
        <v>0</v>
      </c>
      <c r="AF36" s="8">
        <v>0</v>
      </c>
      <c r="AG36" s="11">
        <v>102.16</v>
      </c>
      <c r="AU36" s="11">
        <f>AG162</f>
        <v>73.192999999999998</v>
      </c>
      <c r="AV36" t="s">
        <v>117</v>
      </c>
      <c r="AW36" s="8">
        <f t="shared" ref="AW36:AX36" si="113">AN15</f>
        <v>21502</v>
      </c>
      <c r="AX36" s="8">
        <f t="shared" si="113"/>
        <v>140681.00045304373</v>
      </c>
      <c r="AY36">
        <v>0</v>
      </c>
      <c r="AZ36" s="8">
        <f t="shared" si="84"/>
        <v>26056.56873244049</v>
      </c>
      <c r="BA36">
        <v>1</v>
      </c>
      <c r="BB36">
        <v>2011</v>
      </c>
      <c r="BC36" s="8">
        <v>21502</v>
      </c>
      <c r="BD36" s="8">
        <f t="shared" si="86"/>
        <v>10936.314977445796</v>
      </c>
      <c r="BE36" s="8">
        <f t="shared" si="87"/>
        <v>20402.958046325952</v>
      </c>
      <c r="BT36" s="56">
        <v>36800</v>
      </c>
      <c r="BU36" s="8">
        <v>0</v>
      </c>
      <c r="BV36" s="8">
        <v>2259.3422765731784</v>
      </c>
      <c r="BW36" s="8">
        <v>0</v>
      </c>
      <c r="CJ36">
        <v>0.96412533220806329</v>
      </c>
      <c r="CK36">
        <v>1148.6763923650938</v>
      </c>
      <c r="CL36" t="e">
        <v>#N/A</v>
      </c>
      <c r="CN36" t="s">
        <v>74</v>
      </c>
      <c r="DH36" t="str">
        <v>2010-11</v>
      </c>
      <c r="DI36" s="8">
        <v>9646.602020323131</v>
      </c>
      <c r="DJ36" s="11">
        <f t="shared" si="104"/>
        <v>349.89126262849976</v>
      </c>
      <c r="DK36" s="11">
        <f t="shared" si="105"/>
        <v>86.746784337660642</v>
      </c>
      <c r="DL36" s="20">
        <f t="shared" si="106"/>
        <v>8.1325321566233928</v>
      </c>
      <c r="DM36" s="8">
        <f t="shared" si="107"/>
        <v>1186.1744699609496</v>
      </c>
      <c r="DW36" s="56">
        <v>36831</v>
      </c>
      <c r="DX36">
        <v>1356.7274632453928</v>
      </c>
      <c r="DY36">
        <v>5.3829345703125</v>
      </c>
      <c r="DZ36" s="8">
        <v>129.96295458078384</v>
      </c>
      <c r="EA36" s="56">
        <f>DW36</f>
        <v>36831</v>
      </c>
      <c r="EB36" s="8">
        <f>SUM(DZ32:DZ40)</f>
        <v>3376.7401484847051</v>
      </c>
      <c r="EC36" s="8">
        <f>SUM(DX32:DX40)</f>
        <v>102891.15013855686</v>
      </c>
      <c r="ED36" s="8">
        <f>SUM(DY32:DY40)</f>
        <v>204.60185533761978</v>
      </c>
      <c r="EF36" s="56">
        <v>40483</v>
      </c>
      <c r="EG36" s="8">
        <f t="shared" si="96"/>
        <v>110379.55266344546</v>
      </c>
      <c r="EH36">
        <v>0</v>
      </c>
      <c r="EI36">
        <v>0</v>
      </c>
      <c r="EQ36" s="56">
        <f t="shared" si="97"/>
        <v>40483</v>
      </c>
      <c r="ER36" s="8">
        <f t="shared" si="98"/>
        <v>4376.3523203648565</v>
      </c>
      <c r="ES36" s="8">
        <f t="shared" si="99"/>
        <v>3129.8712824681793</v>
      </c>
      <c r="FE36" s="56">
        <v>36831</v>
      </c>
      <c r="FF36" s="8" t="e">
        <f>DX36+#REF!+#REF!</f>
        <v>#REF!</v>
      </c>
      <c r="FG36" s="8" t="e">
        <f>#REF!+DY36+#REF!</f>
        <v>#REF!</v>
      </c>
      <c r="FH36" s="8">
        <f t="shared" si="11"/>
        <v>129.96295458078384</v>
      </c>
      <c r="FI36" s="8" t="e">
        <f>SUM(FF32:FF40)</f>
        <v>#REF!</v>
      </c>
      <c r="FJ36" s="8" t="e">
        <f>SUM(FG32:FG40)</f>
        <v>#REF!</v>
      </c>
      <c r="FK36" s="8">
        <f>SUM(FH32:FH40)</f>
        <v>3376.7401484847051</v>
      </c>
    </row>
    <row r="37" spans="1:167" x14ac:dyDescent="0.25">
      <c r="AB37">
        <v>2001</v>
      </c>
      <c r="AC37">
        <v>5</v>
      </c>
      <c r="AD37" s="8">
        <v>300.11862671375314</v>
      </c>
      <c r="AE37" s="8">
        <v>0</v>
      </c>
      <c r="AF37" s="8">
        <v>0</v>
      </c>
      <c r="AG37" s="11">
        <v>102.16</v>
      </c>
      <c r="AU37" s="11">
        <f>AG174</f>
        <v>102.16</v>
      </c>
      <c r="AV37" t="s">
        <v>118</v>
      </c>
      <c r="AW37" s="8">
        <f t="shared" ref="AW37:AX37" si="114">AN16</f>
        <v>21688.929999999993</v>
      </c>
      <c r="AX37" s="8">
        <f t="shared" si="114"/>
        <v>274626.00134743698</v>
      </c>
      <c r="AY37">
        <v>0</v>
      </c>
      <c r="AZ37" s="8">
        <f t="shared" si="84"/>
        <v>14112.846273761234</v>
      </c>
      <c r="BA37">
        <v>1</v>
      </c>
      <c r="BB37">
        <v>2012</v>
      </c>
      <c r="BC37" s="8">
        <v>21688.929999999993</v>
      </c>
      <c r="BD37" s="8">
        <f t="shared" si="86"/>
        <v>13200.091956383505</v>
      </c>
      <c r="BE37" s="8">
        <f t="shared" si="87"/>
        <v>22787.971953674045</v>
      </c>
      <c r="BT37" s="56">
        <v>36831</v>
      </c>
      <c r="BU37" s="8">
        <v>0</v>
      </c>
      <c r="BV37" s="8">
        <v>5808.3254699707049</v>
      </c>
      <c r="BW37" s="8">
        <v>0</v>
      </c>
      <c r="BX37" s="8">
        <f>SUM(BW33:BW41)</f>
        <v>0</v>
      </c>
      <c r="BY37" s="8">
        <f>SUM(BU33:BU41)</f>
        <v>99442.258068084571</v>
      </c>
      <c r="BZ37" s="8">
        <f>SUM(BV25:BV36)</f>
        <v>22290.970110893242</v>
      </c>
      <c r="CJ37">
        <v>98.541016145403702</v>
      </c>
      <c r="CK37">
        <v>11</v>
      </c>
      <c r="CL37" t="e">
        <v>#N/A</v>
      </c>
      <c r="CN37" t="s">
        <v>105</v>
      </c>
      <c r="CO37">
        <v>2000</v>
      </c>
      <c r="CP37" s="11">
        <f>DB2</f>
        <v>335.24352914024803</v>
      </c>
      <c r="CQ37" s="11">
        <f>DB2-$DB$20</f>
        <v>76.309558641976309</v>
      </c>
      <c r="CR37" s="20">
        <f t="shared" ref="CR37:CR40" si="115">$CY$24-(CQ37/100)</f>
        <v>8.2369044135802376</v>
      </c>
      <c r="CS37" s="8">
        <f t="shared" ref="CS37:CS40" si="116">CO37/CR37</f>
        <v>242.80966484236325</v>
      </c>
      <c r="DH37" t="str">
        <v>2011-12</v>
      </c>
      <c r="DI37" s="8">
        <v>13808.174253637053</v>
      </c>
      <c r="DJ37" s="11">
        <f t="shared" si="104"/>
        <v>466.83301099758705</v>
      </c>
      <c r="DK37" s="11">
        <f t="shared" si="105"/>
        <v>203.68853270674794</v>
      </c>
      <c r="DL37" s="20">
        <f t="shared" si="106"/>
        <v>6.9631146729325213</v>
      </c>
      <c r="DM37" s="8">
        <f t="shared" si="107"/>
        <v>1983.0456487113588</v>
      </c>
      <c r="DW37" s="56">
        <v>36861</v>
      </c>
      <c r="DX37">
        <v>18995.771069526716</v>
      </c>
      <c r="DY37">
        <v>0</v>
      </c>
      <c r="DZ37" s="8">
        <v>1015.1615180969233</v>
      </c>
      <c r="EF37" s="56">
        <v>40848</v>
      </c>
      <c r="EG37" s="8">
        <f t="shared" si="96"/>
        <v>50162.686703801155</v>
      </c>
      <c r="EH37">
        <v>0</v>
      </c>
      <c r="EI37">
        <v>1</v>
      </c>
      <c r="EQ37" s="56">
        <f t="shared" si="97"/>
        <v>40848</v>
      </c>
      <c r="ER37" s="8">
        <f t="shared" si="98"/>
        <v>8491.3079151253714</v>
      </c>
      <c r="ES37" s="8">
        <f t="shared" si="99"/>
        <v>6825.0285147933882</v>
      </c>
      <c r="FE37" s="56">
        <v>36861</v>
      </c>
      <c r="FF37" s="8" t="e">
        <f>DX37+#REF!+#REF!</f>
        <v>#REF!</v>
      </c>
      <c r="FG37" s="8" t="e">
        <f>#REF!+DY37+#REF!</f>
        <v>#REF!</v>
      </c>
      <c r="FH37" s="8">
        <f t="shared" si="11"/>
        <v>1015.1615180969233</v>
      </c>
    </row>
    <row r="38" spans="1:167" x14ac:dyDescent="0.25">
      <c r="AB38">
        <v>2001</v>
      </c>
      <c r="AC38">
        <v>6</v>
      </c>
      <c r="AD38" s="8">
        <v>5.9274062961339942</v>
      </c>
      <c r="AE38" s="8">
        <v>0</v>
      </c>
      <c r="AF38" s="8">
        <v>0</v>
      </c>
      <c r="AG38" s="11">
        <v>102.16</v>
      </c>
      <c r="AX38" t="s">
        <v>272</v>
      </c>
      <c r="AY38" t="s">
        <v>467</v>
      </c>
      <c r="AZ38" t="s">
        <v>271</v>
      </c>
      <c r="BB38" s="23" t="s">
        <v>484</v>
      </c>
      <c r="BC38" s="23" t="s">
        <v>272</v>
      </c>
      <c r="BD38" s="23" t="s">
        <v>483</v>
      </c>
      <c r="BE38" s="23" t="s">
        <v>271</v>
      </c>
      <c r="BG38" t="s">
        <v>487</v>
      </c>
      <c r="BT38" s="56">
        <v>36861</v>
      </c>
      <c r="BU38" s="8">
        <v>10994.301620483417</v>
      </c>
      <c r="BV38" s="8">
        <v>0</v>
      </c>
      <c r="BW38" s="8">
        <v>0</v>
      </c>
      <c r="CJ38">
        <v>390062034.94477814</v>
      </c>
      <c r="CK38">
        <v>14514031.998145754</v>
      </c>
      <c r="CL38" t="e">
        <v>#N/A</v>
      </c>
      <c r="CN38" t="s">
        <v>106</v>
      </c>
      <c r="CO38">
        <v>2000</v>
      </c>
      <c r="CP38" s="11">
        <f t="shared" ref="CP38:CP40" si="117">DB3</f>
        <v>280.58117685878977</v>
      </c>
      <c r="CQ38" s="11">
        <f t="shared" ref="CQ38:CQ40" si="118">DB3-$DB$20</f>
        <v>21.647206360518055</v>
      </c>
      <c r="CR38" s="20">
        <f t="shared" si="115"/>
        <v>8.7835279363948189</v>
      </c>
      <c r="CS38" s="8">
        <f t="shared" si="116"/>
        <v>227.69893993425333</v>
      </c>
      <c r="DH38" t="str">
        <v xml:space="preserve">2012-13 </v>
      </c>
      <c r="DI38" s="8">
        <v>27831.752099850852</v>
      </c>
      <c r="DJ38" s="11">
        <f t="shared" si="104"/>
        <v>175.41941766368532</v>
      </c>
      <c r="DK38" s="11">
        <f t="shared" si="105"/>
        <v>-87.725060627153795</v>
      </c>
      <c r="DL38" s="20">
        <f t="shared" si="106"/>
        <v>9.8772506062715379</v>
      </c>
      <c r="DM38" s="8">
        <f t="shared" si="107"/>
        <v>2817.763080971049</v>
      </c>
      <c r="DW38" s="56">
        <v>36892</v>
      </c>
      <c r="DX38">
        <v>36969.755146980177</v>
      </c>
      <c r="DY38">
        <v>0</v>
      </c>
      <c r="DZ38" s="8">
        <v>1400.7853317260735</v>
      </c>
      <c r="EF38" s="56">
        <v>41214</v>
      </c>
      <c r="EG38" s="8">
        <f t="shared" si="96"/>
        <v>123597.51298454398</v>
      </c>
      <c r="EH38">
        <v>0</v>
      </c>
      <c r="EI38">
        <v>1</v>
      </c>
      <c r="EQ38" s="56">
        <f t="shared" si="97"/>
        <v>41214</v>
      </c>
      <c r="ER38" s="8">
        <f t="shared" si="98"/>
        <v>7241.0329103555487</v>
      </c>
      <c r="ES38" s="8">
        <f t="shared" si="99"/>
        <v>8907.31231068753</v>
      </c>
      <c r="FE38" s="56">
        <v>36892</v>
      </c>
      <c r="FF38" s="8" t="e">
        <f>DX38+#REF!+#REF!</f>
        <v>#REF!</v>
      </c>
      <c r="FG38" s="8" t="e">
        <f>#REF!+DY38+#REF!</f>
        <v>#REF!</v>
      </c>
      <c r="FH38" s="8">
        <f t="shared" si="11"/>
        <v>1400.7853317260735</v>
      </c>
    </row>
    <row r="39" spans="1:167" x14ac:dyDescent="0.25">
      <c r="B39" t="s">
        <v>122</v>
      </c>
      <c r="C39" t="s">
        <v>130</v>
      </c>
      <c r="D39" t="s">
        <v>127</v>
      </c>
      <c r="E39" t="s">
        <v>123</v>
      </c>
      <c r="H39" t="s">
        <v>128</v>
      </c>
      <c r="I39" t="s">
        <v>97</v>
      </c>
      <c r="AB39">
        <v>2001</v>
      </c>
      <c r="AC39">
        <v>7</v>
      </c>
      <c r="AD39" s="8">
        <v>259.93553912639635</v>
      </c>
      <c r="AE39" s="8">
        <v>200</v>
      </c>
      <c r="AF39" s="8">
        <v>0</v>
      </c>
      <c r="AG39" s="11">
        <v>69.784000000000006</v>
      </c>
      <c r="AW39" t="s">
        <v>322</v>
      </c>
      <c r="AX39">
        <f t="array" ref="AX39:AZ43">LINEST(AW23:AW33,AX23:AZ33,0,1)</f>
        <v>0.22172247361679356</v>
      </c>
      <c r="AY39">
        <v>18772.777902530153</v>
      </c>
      <c r="AZ39">
        <v>3.6671534091378945E-2</v>
      </c>
      <c r="BB39">
        <f t="array" ref="BB39:BE43">LINEST(AW23:AW37,AX23:BA37,0,1)</f>
        <v>12258.565008890693</v>
      </c>
      <c r="BC39">
        <v>0.14609591244101872</v>
      </c>
      <c r="BD39">
        <v>20883.019224604948</v>
      </c>
      <c r="BE39">
        <v>3.0833124867028897E-2</v>
      </c>
      <c r="BG39" t="s">
        <v>488</v>
      </c>
      <c r="BT39" s="56">
        <v>36892</v>
      </c>
      <c r="BU39" s="8">
        <v>37855.017700195211</v>
      </c>
      <c r="BV39" s="8">
        <v>0</v>
      </c>
      <c r="BW39" s="8">
        <v>0</v>
      </c>
      <c r="CN39" t="s">
        <v>107</v>
      </c>
      <c r="CO39">
        <v>3500</v>
      </c>
      <c r="CP39" s="11">
        <f t="shared" si="117"/>
        <v>290.52941115884215</v>
      </c>
      <c r="CQ39" s="11">
        <f t="shared" si="118"/>
        <v>31.595440660570432</v>
      </c>
      <c r="CR39" s="20">
        <f t="shared" si="115"/>
        <v>8.6840455933942948</v>
      </c>
      <c r="CS39" s="8">
        <f t="shared" si="116"/>
        <v>403.03795763835581</v>
      </c>
      <c r="DH39" t="str">
        <v>2013-14</v>
      </c>
      <c r="DI39" s="8">
        <v>31067.986037040631</v>
      </c>
      <c r="DJ39" s="11">
        <f t="shared" si="104"/>
        <v>272.90582530243887</v>
      </c>
      <c r="DK39" s="11">
        <f t="shared" si="105"/>
        <v>9.7613470115997529</v>
      </c>
      <c r="DL39" s="20">
        <f t="shared" si="106"/>
        <v>8.9023865298840033</v>
      </c>
      <c r="DM39" s="8">
        <f t="shared" si="107"/>
        <v>3489.8491469394153</v>
      </c>
      <c r="DW39" s="56">
        <v>36923</v>
      </c>
      <c r="DX39">
        <v>30308.290595054594</v>
      </c>
      <c r="DY39">
        <v>0</v>
      </c>
      <c r="DZ39" s="8">
        <v>325.05455112457281</v>
      </c>
      <c r="FE39" s="56">
        <v>36923</v>
      </c>
      <c r="FF39" s="8" t="e">
        <f>DX39+#REF!+#REF!</f>
        <v>#REF!</v>
      </c>
      <c r="FG39" s="8" t="e">
        <f>#REF!+DY39+#REF!</f>
        <v>#REF!</v>
      </c>
      <c r="FH39" s="8">
        <f t="shared" si="11"/>
        <v>325.05455112457281</v>
      </c>
    </row>
    <row r="40" spans="1:167" x14ac:dyDescent="0.25">
      <c r="A40" t="s">
        <v>110</v>
      </c>
      <c r="B40" s="25">
        <v>14763</v>
      </c>
      <c r="C40" s="31">
        <v>2.4</v>
      </c>
      <c r="D40">
        <v>15717</v>
      </c>
      <c r="E40" s="30">
        <f t="shared" ref="E40:E48" si="119">D40+B40</f>
        <v>30480</v>
      </c>
      <c r="G40" t="s">
        <v>110</v>
      </c>
      <c r="H40" s="30">
        <v>32165</v>
      </c>
      <c r="I40" s="8">
        <v>7000</v>
      </c>
      <c r="AB40">
        <v>2001</v>
      </c>
      <c r="AC40">
        <v>8</v>
      </c>
      <c r="AD40" s="8">
        <v>398.92161172628289</v>
      </c>
      <c r="AE40" s="8">
        <v>0</v>
      </c>
      <c r="AF40" s="8">
        <v>0</v>
      </c>
      <c r="AG40" s="11">
        <v>70.784000000000006</v>
      </c>
      <c r="AX40">
        <v>0.1163014185598728</v>
      </c>
      <c r="AY40">
        <v>1935.8899582958957</v>
      </c>
      <c r="AZ40">
        <v>1.0375527119551555E-2</v>
      </c>
      <c r="BB40">
        <v>2499.9028824024563</v>
      </c>
      <c r="BC40">
        <v>8.7024553416773578E-2</v>
      </c>
      <c r="BD40">
        <v>1707.4256411803433</v>
      </c>
      <c r="BE40">
        <v>9.1307083852033583E-3</v>
      </c>
      <c r="BG40" t="s">
        <v>545</v>
      </c>
      <c r="BT40" s="56">
        <v>36923</v>
      </c>
      <c r="BU40" s="8">
        <v>33532.865047454776</v>
      </c>
      <c r="BV40" s="8">
        <v>0</v>
      </c>
      <c r="BW40" s="8">
        <v>0</v>
      </c>
      <c r="CN40" t="s">
        <v>108</v>
      </c>
      <c r="CO40">
        <v>5000</v>
      </c>
      <c r="CP40" s="11">
        <f t="shared" si="117"/>
        <v>148.68235294117648</v>
      </c>
      <c r="CQ40" s="11">
        <f t="shared" si="118"/>
        <v>-110.25161755709524</v>
      </c>
      <c r="CR40" s="20">
        <f t="shared" si="115"/>
        <v>10.102516175570953</v>
      </c>
      <c r="CS40" s="8">
        <f t="shared" si="116"/>
        <v>494.92620581895977</v>
      </c>
      <c r="DH40" t="s">
        <v>355</v>
      </c>
      <c r="DW40" s="56">
        <v>36951</v>
      </c>
      <c r="DX40">
        <v>14125.062293052673</v>
      </c>
      <c r="DY40">
        <v>0</v>
      </c>
      <c r="DZ40" s="8">
        <v>0</v>
      </c>
      <c r="FE40" s="56">
        <v>36951</v>
      </c>
      <c r="FF40" s="8" t="e">
        <f>DX40+#REF!+#REF!</f>
        <v>#REF!</v>
      </c>
      <c r="FG40" s="8" t="e">
        <f>#REF!+DY40+#REF!</f>
        <v>#REF!</v>
      </c>
      <c r="FH40" s="8">
        <f t="shared" si="11"/>
        <v>0</v>
      </c>
    </row>
    <row r="41" spans="1:167" x14ac:dyDescent="0.25">
      <c r="A41" t="s">
        <v>111</v>
      </c>
      <c r="B41" s="25">
        <v>43695</v>
      </c>
      <c r="C41" s="31">
        <v>7.2</v>
      </c>
      <c r="D41">
        <v>28941</v>
      </c>
      <c r="E41" s="30">
        <f t="shared" si="119"/>
        <v>72636</v>
      </c>
      <c r="G41" t="s">
        <v>111</v>
      </c>
      <c r="H41" s="30">
        <v>72636</v>
      </c>
      <c r="I41" s="8">
        <v>16000</v>
      </c>
      <c r="AB41">
        <v>2001</v>
      </c>
      <c r="AC41">
        <v>9</v>
      </c>
      <c r="AD41" s="8">
        <v>623.80769777297883</v>
      </c>
      <c r="AE41" s="8">
        <v>174.56007003784208</v>
      </c>
      <c r="AF41" s="8">
        <v>0</v>
      </c>
      <c r="AG41" s="11">
        <v>71.784000000000006</v>
      </c>
      <c r="AH41" s="11"/>
      <c r="AI41" s="11"/>
      <c r="AX41">
        <v>0.9865908585720059</v>
      </c>
      <c r="AY41">
        <v>2672.0796818245417</v>
      </c>
      <c r="AZ41" t="e">
        <v>#N/A</v>
      </c>
      <c r="BB41">
        <v>0.98314369336152996</v>
      </c>
      <c r="BC41">
        <v>2838.1343642175916</v>
      </c>
      <c r="BD41" t="e">
        <v>#N/A</v>
      </c>
      <c r="BE41" t="e">
        <v>#N/A</v>
      </c>
      <c r="BG41">
        <f>1-(((1-BB41)*(14))/(10))</f>
        <v>0.97640117070614196</v>
      </c>
      <c r="BT41" s="56">
        <v>36951</v>
      </c>
      <c r="BU41" s="8">
        <v>17060.073699951168</v>
      </c>
      <c r="BV41" s="8">
        <v>0</v>
      </c>
      <c r="BW41" s="8">
        <v>0</v>
      </c>
      <c r="DH41" t="s">
        <v>105</v>
      </c>
      <c r="DI41">
        <v>15000</v>
      </c>
      <c r="DJ41" s="11">
        <f>DV2</f>
        <v>309.98058227427953</v>
      </c>
      <c r="DK41" s="11">
        <f t="shared" si="105"/>
        <v>46.83610398344041</v>
      </c>
      <c r="DL41" s="20">
        <f t="shared" si="106"/>
        <v>8.531638960165596</v>
      </c>
      <c r="DM41" s="8">
        <f t="shared" si="107"/>
        <v>1758.1615994342142</v>
      </c>
      <c r="DW41" s="56">
        <v>36982</v>
      </c>
      <c r="DX41">
        <v>7281.166187286377</v>
      </c>
      <c r="DY41">
        <v>0</v>
      </c>
      <c r="DZ41" s="8">
        <v>0</v>
      </c>
      <c r="FE41" s="56">
        <v>36982</v>
      </c>
      <c r="FF41" s="8" t="e">
        <f>DX41+#REF!+#REF!</f>
        <v>#REF!</v>
      </c>
      <c r="FG41" s="8" t="e">
        <f>#REF!+DY41+#REF!</f>
        <v>#REF!</v>
      </c>
      <c r="FH41" s="8">
        <f t="shared" si="11"/>
        <v>0</v>
      </c>
    </row>
    <row r="42" spans="1:167" x14ac:dyDescent="0.25">
      <c r="A42" t="s">
        <v>112</v>
      </c>
      <c r="B42" s="25">
        <v>179498</v>
      </c>
      <c r="C42" s="31">
        <v>29.5</v>
      </c>
      <c r="D42">
        <v>14675</v>
      </c>
      <c r="E42" s="30">
        <f t="shared" si="119"/>
        <v>194173</v>
      </c>
      <c r="G42" t="s">
        <v>112</v>
      </c>
      <c r="H42" s="30">
        <v>194173</v>
      </c>
      <c r="I42" s="8">
        <v>13900</v>
      </c>
      <c r="AB42">
        <v>2001</v>
      </c>
      <c r="AC42">
        <v>10</v>
      </c>
      <c r="AD42" s="8">
        <v>2466.1096233725516</v>
      </c>
      <c r="AE42" s="8">
        <v>0</v>
      </c>
      <c r="AF42" s="8">
        <v>0</v>
      </c>
      <c r="AG42" s="11">
        <v>71.784000000000006</v>
      </c>
      <c r="AH42" s="11"/>
      <c r="AI42" s="11"/>
      <c r="AX42">
        <v>196.20264058812174</v>
      </c>
      <c r="AY42">
        <v>8</v>
      </c>
      <c r="AZ42" t="e">
        <v>#N/A</v>
      </c>
      <c r="BB42">
        <v>160.39368615743237</v>
      </c>
      <c r="BC42">
        <v>11</v>
      </c>
      <c r="BD42" t="e">
        <v>#N/A</v>
      </c>
      <c r="BE42" t="e">
        <v>#N/A</v>
      </c>
      <c r="BG42">
        <v>3.59</v>
      </c>
      <c r="BH42" t="s">
        <v>602</v>
      </c>
      <c r="BT42" s="56">
        <v>36982</v>
      </c>
      <c r="BU42" s="8">
        <v>7169.4821319580105</v>
      </c>
      <c r="BV42" s="8">
        <v>0</v>
      </c>
      <c r="BW42" s="8">
        <v>0</v>
      </c>
      <c r="DH42" t="s">
        <v>106</v>
      </c>
      <c r="DI42">
        <v>15000</v>
      </c>
      <c r="DJ42" s="11">
        <f t="shared" ref="DJ42:DJ44" si="120">DV3</f>
        <v>292.57961112087213</v>
      </c>
      <c r="DK42" s="11">
        <f t="shared" si="105"/>
        <v>29.435132830033012</v>
      </c>
      <c r="DL42" s="20">
        <f t="shared" si="106"/>
        <v>8.7056486716996702</v>
      </c>
      <c r="DM42" s="8">
        <f t="shared" si="107"/>
        <v>1723.0192218486845</v>
      </c>
      <c r="DW42" s="56">
        <v>37012</v>
      </c>
      <c r="DX42">
        <v>484.7599470615387</v>
      </c>
      <c r="DY42">
        <v>0</v>
      </c>
      <c r="DZ42" s="8">
        <v>0</v>
      </c>
      <c r="FE42" s="56">
        <v>37012</v>
      </c>
      <c r="FF42" s="8" t="e">
        <f>DX42+#REF!+#REF!</f>
        <v>#REF!</v>
      </c>
      <c r="FG42" s="8" t="e">
        <f>#REF!+DY42+#REF!</f>
        <v>#REF!</v>
      </c>
      <c r="FH42" s="8">
        <f t="shared" si="11"/>
        <v>0</v>
      </c>
    </row>
    <row r="43" spans="1:167" x14ac:dyDescent="0.25">
      <c r="A43" t="s">
        <v>113</v>
      </c>
      <c r="B43" s="25">
        <v>1868</v>
      </c>
      <c r="C43" s="31">
        <v>0.3</v>
      </c>
      <c r="D43">
        <v>13028</v>
      </c>
      <c r="E43" s="30">
        <f t="shared" si="119"/>
        <v>14896</v>
      </c>
      <c r="G43" t="s">
        <v>113</v>
      </c>
      <c r="H43" s="30">
        <v>14896</v>
      </c>
      <c r="I43" s="8">
        <v>3210</v>
      </c>
      <c r="AB43">
        <v>2001</v>
      </c>
      <c r="AC43">
        <v>11</v>
      </c>
      <c r="AD43" s="8">
        <v>18416.174825534225</v>
      </c>
      <c r="AE43" s="8">
        <v>0</v>
      </c>
      <c r="AF43" s="8">
        <v>0</v>
      </c>
      <c r="AG43" s="11">
        <v>71.784000000000006</v>
      </c>
      <c r="AH43" s="11"/>
      <c r="AI43" s="11"/>
      <c r="AX43">
        <v>4202666345.0705109</v>
      </c>
      <c r="AY43">
        <v>57120078.608156353</v>
      </c>
      <c r="AZ43" t="e">
        <v>#N/A</v>
      </c>
      <c r="BB43">
        <v>5167888846.8807859</v>
      </c>
      <c r="BC43">
        <v>88605073.362880722</v>
      </c>
      <c r="BD43" t="e">
        <v>#N/A</v>
      </c>
      <c r="BE43" t="e">
        <v>#N/A</v>
      </c>
      <c r="BT43" s="56">
        <v>37012</v>
      </c>
      <c r="BU43" s="8">
        <v>0</v>
      </c>
      <c r="BV43" s="8">
        <v>0</v>
      </c>
      <c r="BW43" s="8">
        <v>0</v>
      </c>
      <c r="DH43" t="s">
        <v>107</v>
      </c>
      <c r="DI43">
        <v>25000</v>
      </c>
      <c r="DJ43" s="11">
        <f t="shared" si="120"/>
        <v>286.34271832808707</v>
      </c>
      <c r="DK43" s="11">
        <f t="shared" si="105"/>
        <v>23.198240037247956</v>
      </c>
      <c r="DL43" s="20">
        <f t="shared" si="106"/>
        <v>8.7680175996275196</v>
      </c>
      <c r="DM43" s="8">
        <f t="shared" si="107"/>
        <v>2851.271649028401</v>
      </c>
      <c r="DW43" s="56">
        <v>37043</v>
      </c>
      <c r="DX43">
        <v>151.56646823883071</v>
      </c>
      <c r="DY43">
        <v>0</v>
      </c>
      <c r="DZ43" s="8">
        <v>0</v>
      </c>
      <c r="FE43" s="56">
        <v>37043</v>
      </c>
      <c r="FF43" s="8" t="e">
        <f>DX43+#REF!+#REF!</f>
        <v>#REF!</v>
      </c>
      <c r="FG43" s="8" t="e">
        <f>#REF!+DY43+#REF!</f>
        <v>#REF!</v>
      </c>
      <c r="FH43" s="8">
        <f t="shared" si="11"/>
        <v>0</v>
      </c>
    </row>
    <row r="44" spans="1:167" x14ac:dyDescent="0.25">
      <c r="A44" t="s">
        <v>114</v>
      </c>
      <c r="B44" s="26">
        <v>40324</v>
      </c>
      <c r="C44" s="32">
        <v>6.6</v>
      </c>
      <c r="D44">
        <v>14930</v>
      </c>
      <c r="E44" s="30">
        <f t="shared" si="119"/>
        <v>55254</v>
      </c>
      <c r="G44" t="s">
        <v>114</v>
      </c>
      <c r="H44" s="30">
        <v>55254</v>
      </c>
      <c r="I44" s="8">
        <v>4150</v>
      </c>
      <c r="AB44">
        <v>2001</v>
      </c>
      <c r="AC44">
        <v>12</v>
      </c>
      <c r="AD44" s="8">
        <v>43908.596239328384</v>
      </c>
      <c r="AE44" s="8">
        <v>0</v>
      </c>
      <c r="AF44" s="8">
        <v>0</v>
      </c>
      <c r="AG44" s="11">
        <v>71.784000000000006</v>
      </c>
      <c r="BB44" s="15">
        <f>BB39/BB40</f>
        <v>4.9036164945375678</v>
      </c>
      <c r="BC44" s="15">
        <f t="shared" ref="BC44:BE44" si="121">BC39/BC40</f>
        <v>1.6787895680583798</v>
      </c>
      <c r="BD44" s="15">
        <f t="shared" si="121"/>
        <v>12.230704940197874</v>
      </c>
      <c r="BE44" s="15">
        <f t="shared" si="121"/>
        <v>3.3768601039756221</v>
      </c>
      <c r="BT44" s="56">
        <v>37043</v>
      </c>
      <c r="BU44" s="8">
        <v>0</v>
      </c>
      <c r="BV44" s="8">
        <v>0</v>
      </c>
      <c r="BW44" s="8">
        <v>0</v>
      </c>
      <c r="DH44" t="s">
        <v>108</v>
      </c>
      <c r="DI44">
        <v>35000</v>
      </c>
      <c r="DJ44" s="11">
        <f t="shared" si="120"/>
        <v>168.09708737864077</v>
      </c>
      <c r="DK44" s="11">
        <f t="shared" si="105"/>
        <v>-95.047390912198352</v>
      </c>
      <c r="DL44" s="20">
        <f t="shared" si="106"/>
        <v>9.9504739091219836</v>
      </c>
      <c r="DM44" s="8">
        <f t="shared" si="107"/>
        <v>3517.420408279665</v>
      </c>
      <c r="DW44" s="56">
        <v>37073</v>
      </c>
      <c r="DX44">
        <v>0</v>
      </c>
      <c r="DY44">
        <v>0</v>
      </c>
      <c r="DZ44" s="8">
        <v>56.932771563530011</v>
      </c>
      <c r="FE44" s="56">
        <v>37073</v>
      </c>
      <c r="FF44" s="8" t="e">
        <f>DX44+#REF!+#REF!</f>
        <v>#REF!</v>
      </c>
      <c r="FG44" s="8" t="e">
        <f>#REF!+DY44+#REF!</f>
        <v>#REF!</v>
      </c>
      <c r="FH44" s="8">
        <f t="shared" si="11"/>
        <v>56.932771563530011</v>
      </c>
    </row>
    <row r="45" spans="1:167" x14ac:dyDescent="0.25">
      <c r="A45" t="s">
        <v>115</v>
      </c>
      <c r="B45" s="27">
        <v>68270</v>
      </c>
      <c r="C45" s="33">
        <v>11.2</v>
      </c>
      <c r="D45">
        <v>22241</v>
      </c>
      <c r="E45" s="30">
        <f t="shared" si="119"/>
        <v>90511</v>
      </c>
      <c r="G45" t="s">
        <v>115</v>
      </c>
      <c r="H45" s="30">
        <v>90511</v>
      </c>
      <c r="I45" s="8">
        <v>6200</v>
      </c>
      <c r="AB45">
        <v>2002</v>
      </c>
      <c r="AC45">
        <v>1</v>
      </c>
      <c r="AD45" s="8">
        <v>50201.568766757853</v>
      </c>
      <c r="AE45" s="8">
        <v>4.7282419800758397</v>
      </c>
      <c r="AF45" s="8">
        <v>0</v>
      </c>
      <c r="AG45" s="11">
        <v>71.784000000000006</v>
      </c>
      <c r="AU45" t="s">
        <v>477</v>
      </c>
      <c r="AV45">
        <v>8</v>
      </c>
      <c r="AW45" t="s">
        <v>376</v>
      </c>
      <c r="AX45" t="s">
        <v>478</v>
      </c>
      <c r="AY45">
        <v>10</v>
      </c>
      <c r="AZ45" t="s">
        <v>376</v>
      </c>
      <c r="BB45" s="76">
        <v>0.995</v>
      </c>
      <c r="BC45" s="75">
        <v>0.9</v>
      </c>
      <c r="BD45" s="76">
        <v>0.995</v>
      </c>
      <c r="BE45" s="76">
        <v>0.995</v>
      </c>
      <c r="BT45" s="56">
        <v>37073</v>
      </c>
      <c r="BU45" s="8">
        <v>0</v>
      </c>
      <c r="BV45" s="8">
        <v>0</v>
      </c>
      <c r="BW45" s="8">
        <v>0</v>
      </c>
      <c r="DW45" s="56">
        <v>37104</v>
      </c>
      <c r="DX45">
        <v>0</v>
      </c>
      <c r="DY45">
        <v>0</v>
      </c>
      <c r="DZ45" s="8">
        <v>75.938641548156781</v>
      </c>
      <c r="FE45" s="56">
        <v>37104</v>
      </c>
      <c r="FF45" s="8" t="e">
        <f>DX45+#REF!+#REF!</f>
        <v>#REF!</v>
      </c>
      <c r="FG45" s="8" t="e">
        <f>#REF!+DY45+#REF!</f>
        <v>#REF!</v>
      </c>
      <c r="FH45" s="8">
        <f t="shared" si="11"/>
        <v>75.938641548156781</v>
      </c>
    </row>
    <row r="46" spans="1:167" x14ac:dyDescent="0.25">
      <c r="A46" t="s">
        <v>116</v>
      </c>
      <c r="B46" s="28">
        <v>31612</v>
      </c>
      <c r="C46" s="34">
        <v>5.2</v>
      </c>
      <c r="D46">
        <v>11207</v>
      </c>
      <c r="E46" s="30">
        <f t="shared" si="119"/>
        <v>42819</v>
      </c>
      <c r="G46" t="s">
        <v>116</v>
      </c>
      <c r="H46" s="30">
        <v>42819</v>
      </c>
      <c r="I46" s="8">
        <v>16800</v>
      </c>
      <c r="AB46">
        <v>2002</v>
      </c>
      <c r="AC46">
        <v>2</v>
      </c>
      <c r="AD46" s="8">
        <v>27346.121194086969</v>
      </c>
      <c r="AE46" s="8">
        <v>4668.3970720171919</v>
      </c>
      <c r="AF46" s="8">
        <v>0</v>
      </c>
      <c r="AG46" s="11">
        <v>71.784000000000006</v>
      </c>
      <c r="AR46" t="s">
        <v>43</v>
      </c>
      <c r="AS46" t="s">
        <v>55</v>
      </c>
      <c r="AT46" t="s">
        <v>56</v>
      </c>
      <c r="AU46" t="s">
        <v>57</v>
      </c>
      <c r="AV46" t="s">
        <v>40</v>
      </c>
      <c r="AW46" t="s">
        <v>59</v>
      </c>
      <c r="AX46" t="s">
        <v>60</v>
      </c>
      <c r="AY46" t="s">
        <v>379</v>
      </c>
      <c r="AZ46" t="s">
        <v>479</v>
      </c>
      <c r="BB46" s="37" t="s">
        <v>470</v>
      </c>
      <c r="BC46" t="s">
        <v>485</v>
      </c>
      <c r="BD46" t="s">
        <v>486</v>
      </c>
      <c r="BT46" s="56">
        <v>37104</v>
      </c>
      <c r="BU46" s="8">
        <v>0</v>
      </c>
      <c r="BV46" s="8">
        <v>0</v>
      </c>
      <c r="BW46" s="8">
        <v>0</v>
      </c>
      <c r="DW46" s="56">
        <v>37135</v>
      </c>
      <c r="DX46">
        <v>2.1217455863952601</v>
      </c>
      <c r="DY46">
        <v>230.77822875976599</v>
      </c>
      <c r="DZ46" s="8">
        <v>118.52027893066408</v>
      </c>
      <c r="FE46" s="56">
        <v>37135</v>
      </c>
      <c r="FF46" s="8" t="e">
        <f>DX46+#REF!+#REF!</f>
        <v>#REF!</v>
      </c>
      <c r="FG46" s="8" t="e">
        <f>#REF!+DY46+#REF!</f>
        <v>#REF!</v>
      </c>
      <c r="FH46" s="8">
        <f t="shared" si="11"/>
        <v>118.52027893066408</v>
      </c>
    </row>
    <row r="47" spans="1:167" x14ac:dyDescent="0.25">
      <c r="A47" t="s">
        <v>117</v>
      </c>
      <c r="B47" s="29">
        <v>491579.8</v>
      </c>
      <c r="C47" s="35">
        <v>80.400000000000006</v>
      </c>
      <c r="D47">
        <v>1678</v>
      </c>
      <c r="E47" s="30">
        <f t="shared" si="119"/>
        <v>493257.8</v>
      </c>
      <c r="G47" t="s">
        <v>117</v>
      </c>
      <c r="H47" s="30">
        <v>493257.8</v>
      </c>
      <c r="I47" s="8">
        <v>42000</v>
      </c>
      <c r="AB47">
        <v>2002</v>
      </c>
      <c r="AC47">
        <v>3</v>
      </c>
      <c r="AD47" s="8">
        <v>20192.273776054379</v>
      </c>
      <c r="AE47" s="8">
        <v>0</v>
      </c>
      <c r="AF47" s="8">
        <v>0</v>
      </c>
      <c r="AG47" s="11">
        <v>71.784000000000006</v>
      </c>
      <c r="AH47" s="11">
        <f>SUM(AD39:AD47)</f>
        <v>163813.50927376002</v>
      </c>
      <c r="AI47" s="11">
        <f>SUM(AE39:AE47)</f>
        <v>5047.6853840351096</v>
      </c>
      <c r="AL47" s="37" t="s">
        <v>78</v>
      </c>
      <c r="AM47" t="str">
        <f>AN1</f>
        <v>area planted Ha</v>
      </c>
      <c r="AN47" t="str">
        <f>AO1</f>
        <v>GS on allocn jul-mar</v>
      </c>
      <c r="AO47" t="str">
        <f>AP1</f>
        <v>GS off alloc jul-mar</v>
      </c>
      <c r="AR47" t="s">
        <v>176</v>
      </c>
      <c r="AZ47">
        <v>50000</v>
      </c>
      <c r="BB47">
        <v>1998</v>
      </c>
      <c r="BC47" s="8">
        <v>30000</v>
      </c>
      <c r="BD47" s="8">
        <f>($BE$39*AX23)+($BD$39*AY23)+($BC$39*AZ23)</f>
        <v>31707.936057442155</v>
      </c>
      <c r="BT47" s="56">
        <v>37135</v>
      </c>
      <c r="BU47" s="8">
        <v>0</v>
      </c>
      <c r="BV47" s="8">
        <v>513.69729614257801</v>
      </c>
      <c r="BW47" s="8">
        <v>0</v>
      </c>
      <c r="DW47" s="56">
        <v>37165</v>
      </c>
      <c r="DX47">
        <v>489.43046569824202</v>
      </c>
      <c r="DY47">
        <v>0</v>
      </c>
      <c r="DZ47" s="8">
        <v>539.53911972045762</v>
      </c>
      <c r="EG47" t="s">
        <v>368</v>
      </c>
      <c r="EH47" t="s">
        <v>490</v>
      </c>
      <c r="FE47" s="56">
        <v>37165</v>
      </c>
      <c r="FF47" s="8" t="e">
        <f>DX47+#REF!+#REF!</f>
        <v>#REF!</v>
      </c>
      <c r="FG47" s="8" t="e">
        <f>#REF!+DY47+#REF!</f>
        <v>#REF!</v>
      </c>
      <c r="FH47" s="8">
        <f t="shared" si="11"/>
        <v>539.53911972045762</v>
      </c>
    </row>
    <row r="48" spans="1:167" x14ac:dyDescent="0.25">
      <c r="A48" t="s">
        <v>118</v>
      </c>
      <c r="B48" s="25">
        <v>605851</v>
      </c>
      <c r="C48" s="31">
        <v>99.1</v>
      </c>
      <c r="D48">
        <v>4108</v>
      </c>
      <c r="E48" s="30">
        <f t="shared" si="119"/>
        <v>609959</v>
      </c>
      <c r="G48" t="s">
        <v>118</v>
      </c>
      <c r="H48" s="30">
        <v>609959</v>
      </c>
      <c r="I48" s="8">
        <v>41000</v>
      </c>
      <c r="AB48">
        <v>2002</v>
      </c>
      <c r="AC48">
        <v>4</v>
      </c>
      <c r="AD48" s="8">
        <v>5094.8432487845384</v>
      </c>
      <c r="AE48" s="8">
        <v>0</v>
      </c>
      <c r="AF48" s="8">
        <v>0</v>
      </c>
      <c r="AG48" s="11">
        <v>71.784000000000006</v>
      </c>
      <c r="AL48" t="s">
        <v>177</v>
      </c>
      <c r="AM48" s="8">
        <f t="shared" ref="AM48:AO48" si="122">AN2</f>
        <v>30000</v>
      </c>
      <c r="AN48" s="8">
        <f t="shared" si="122"/>
        <v>229195.51186773181</v>
      </c>
      <c r="AO48" s="8">
        <f t="shared" si="122"/>
        <v>25723.53280571102</v>
      </c>
      <c r="AR48" t="s">
        <v>177</v>
      </c>
      <c r="AS48" s="8">
        <f t="shared" ref="AS48:AS56" si="123">AN48+AO48+AZ47</f>
        <v>304919.04467344284</v>
      </c>
      <c r="AT48" s="11">
        <f t="shared" ref="AT48:AT56" si="124">P4</f>
        <v>320.6294706673022</v>
      </c>
      <c r="AU48" s="11">
        <f t="shared" ref="AU48:AU56" si="125">P4-$P$20</f>
        <v>68.100243301857375</v>
      </c>
      <c r="AV48" s="8">
        <f t="shared" ref="AV48:AV56" si="126">AM48</f>
        <v>30000</v>
      </c>
      <c r="AW48" s="8">
        <f t="shared" ref="AW48:AW55" si="127">AV48*$AV$45</f>
        <v>240000</v>
      </c>
      <c r="AX48" s="8">
        <f t="shared" ref="AX48:AX56" si="128">AW48-(AV48*(AU48/100))</f>
        <v>219569.92700944279</v>
      </c>
      <c r="AY48" s="8">
        <f t="shared" ref="AY48:AY56" si="129">AS48-AX48</f>
        <v>85349.117664000049</v>
      </c>
      <c r="AZ48" s="8">
        <f t="shared" ref="AZ48:AZ56" si="130">IF(AY48&gt;0,AY48,0)</f>
        <v>85349.117664000049</v>
      </c>
      <c r="BB48">
        <v>1999</v>
      </c>
      <c r="BC48" s="8">
        <v>30416.666666666668</v>
      </c>
      <c r="BD48" s="8">
        <f t="shared" ref="BD48:BD59" si="131">($BE$39*AX24)+($BD$39*AY24)+($BC$39*AZ24)</f>
        <v>28121.388226780196</v>
      </c>
      <c r="BT48" s="56">
        <v>37165</v>
      </c>
      <c r="BU48" s="8">
        <v>0</v>
      </c>
      <c r="BV48" s="8">
        <v>0</v>
      </c>
      <c r="BW48" s="8">
        <v>0</v>
      </c>
      <c r="DW48" s="56">
        <v>37196</v>
      </c>
      <c r="DX48">
        <v>2695.3523493707175</v>
      </c>
      <c r="DY48">
        <v>0</v>
      </c>
      <c r="DZ48" s="8">
        <v>579.81381642818462</v>
      </c>
      <c r="EA48" s="56">
        <f>DW48</f>
        <v>37196</v>
      </c>
      <c r="EB48" s="8">
        <f>SUM(DZ44:DZ52)</f>
        <v>3049.0336759090401</v>
      </c>
      <c r="EC48" s="8">
        <f>SUM(DX44:DX52)</f>
        <v>52205.84387549758</v>
      </c>
      <c r="ED48" s="8">
        <f>SUM(DY44:DY52)</f>
        <v>703.77047729492199</v>
      </c>
      <c r="EF48" s="11">
        <v>1999</v>
      </c>
      <c r="EG48" s="8">
        <v>11134.460174150447</v>
      </c>
      <c r="EH48" s="8">
        <f>($EM$27*EG25)+($EL$27*EH25)</f>
        <v>8506.542741638088</v>
      </c>
      <c r="FE48" s="56">
        <v>37196</v>
      </c>
      <c r="FF48" s="8" t="e">
        <f>DX48+#REF!+#REF!</f>
        <v>#REF!</v>
      </c>
      <c r="FG48" s="8" t="e">
        <f>#REF!+DY48+#REF!</f>
        <v>#REF!</v>
      </c>
      <c r="FH48" s="8">
        <f t="shared" si="11"/>
        <v>579.81381642818462</v>
      </c>
      <c r="FI48" s="8" t="e">
        <f>SUM(FF44:FF52)</f>
        <v>#REF!</v>
      </c>
      <c r="FJ48" s="8" t="e">
        <f>SUM(FG44:FG52)</f>
        <v>#REF!</v>
      </c>
      <c r="FK48" s="8">
        <f>SUM(FH44:FH52)</f>
        <v>3049.0336759090401</v>
      </c>
    </row>
    <row r="49" spans="1:167" x14ac:dyDescent="0.25">
      <c r="A49" t="s">
        <v>124</v>
      </c>
      <c r="B49" s="25">
        <v>271651</v>
      </c>
      <c r="C49" s="36">
        <v>44.5</v>
      </c>
      <c r="AB49">
        <v>2002</v>
      </c>
      <c r="AC49">
        <v>5</v>
      </c>
      <c r="AD49" s="8">
        <v>591.97324812412262</v>
      </c>
      <c r="AE49" s="8">
        <v>0</v>
      </c>
      <c r="AF49" s="8">
        <v>0</v>
      </c>
      <c r="AG49" s="11">
        <v>71.784000000000006</v>
      </c>
      <c r="AL49" t="s">
        <v>105</v>
      </c>
      <c r="AM49" s="8">
        <f t="shared" ref="AM49:AO49" si="132">AN3</f>
        <v>30416.666666666668</v>
      </c>
      <c r="AN49" s="8">
        <f t="shared" si="132"/>
        <v>121725.3831654005</v>
      </c>
      <c r="AO49" s="8">
        <f t="shared" si="132"/>
        <v>23855.527545690544</v>
      </c>
      <c r="AR49" t="s">
        <v>105</v>
      </c>
      <c r="AS49" s="8">
        <f t="shared" si="123"/>
        <v>230930.02837509109</v>
      </c>
      <c r="AT49" s="11">
        <f t="shared" si="124"/>
        <v>290.33940389298442</v>
      </c>
      <c r="AU49" s="11">
        <f t="shared" si="125"/>
        <v>37.810176527539596</v>
      </c>
      <c r="AV49" s="8">
        <f t="shared" si="126"/>
        <v>30416.666666666668</v>
      </c>
      <c r="AW49" s="8">
        <f t="shared" si="127"/>
        <v>243333.33333333334</v>
      </c>
      <c r="AX49" s="8">
        <f t="shared" si="128"/>
        <v>231832.73797287338</v>
      </c>
      <c r="AY49" s="8">
        <f t="shared" si="129"/>
        <v>-902.70959778229007</v>
      </c>
      <c r="AZ49" s="8">
        <f t="shared" si="130"/>
        <v>0</v>
      </c>
      <c r="BB49">
        <v>2000</v>
      </c>
      <c r="BC49" s="8">
        <v>32166.666666666668</v>
      </c>
      <c r="BD49" s="8">
        <f t="shared" si="131"/>
        <v>31590.752349191043</v>
      </c>
      <c r="BT49" s="56">
        <v>37196</v>
      </c>
      <c r="BU49" s="8">
        <v>3712.8989105224655</v>
      </c>
      <c r="BV49" s="8">
        <v>0</v>
      </c>
      <c r="BW49" s="8">
        <v>0</v>
      </c>
      <c r="BX49" s="8">
        <f>SUM(BW45:BW53)</f>
        <v>0</v>
      </c>
      <c r="BY49" s="8">
        <f>SUM(BU45:BU53)</f>
        <v>82716.697093486728</v>
      </c>
      <c r="BZ49" s="8">
        <f>SUM(BV37:BV48)</f>
        <v>6322.0227661132831</v>
      </c>
      <c r="CB49" t="s">
        <v>310</v>
      </c>
      <c r="CC49" t="s">
        <v>466</v>
      </c>
      <c r="CD49" t="s">
        <v>489</v>
      </c>
      <c r="DW49" s="56">
        <v>37226</v>
      </c>
      <c r="DX49">
        <v>16232.182762145996</v>
      </c>
      <c r="DY49">
        <v>0</v>
      </c>
      <c r="DZ49" s="8">
        <v>1076.9749264717098</v>
      </c>
      <c r="EF49" s="11">
        <v>2000</v>
      </c>
      <c r="EG49" s="8">
        <v>11909.217372948919</v>
      </c>
      <c r="EH49" s="8">
        <f t="shared" ref="EH49:EH59" si="133">($EM$27*EG26)+($EL$27*EH26)</f>
        <v>10147.178864363315</v>
      </c>
      <c r="FE49" s="56">
        <v>37226</v>
      </c>
      <c r="FF49" s="8" t="e">
        <f>DX49+#REF!+#REF!</f>
        <v>#REF!</v>
      </c>
      <c r="FG49" s="8" t="e">
        <f>#REF!+DY49+#REF!</f>
        <v>#REF!</v>
      </c>
      <c r="FH49" s="8">
        <f t="shared" si="11"/>
        <v>1076.9749264717098</v>
      </c>
    </row>
    <row r="50" spans="1:167" x14ac:dyDescent="0.25">
      <c r="A50" t="s">
        <v>125</v>
      </c>
      <c r="AB50">
        <v>2002</v>
      </c>
      <c r="AC50">
        <v>6</v>
      </c>
      <c r="AD50" s="8">
        <v>18.305731773376461</v>
      </c>
      <c r="AE50" s="8">
        <v>454.81509438157059</v>
      </c>
      <c r="AF50" s="8">
        <v>0</v>
      </c>
      <c r="AG50" s="11">
        <v>71.784000000000006</v>
      </c>
      <c r="AL50" t="s">
        <v>106</v>
      </c>
      <c r="AM50" s="8">
        <f t="shared" ref="AM50:AO50" si="134">AN4</f>
        <v>32166.666666666668</v>
      </c>
      <c r="AN50" s="8">
        <f t="shared" si="134"/>
        <v>229850.92382268608</v>
      </c>
      <c r="AO50" s="8">
        <f t="shared" si="134"/>
        <v>24783.108774662032</v>
      </c>
      <c r="AR50" t="s">
        <v>106</v>
      </c>
      <c r="AS50" s="8">
        <f t="shared" si="123"/>
        <v>254634.03259734809</v>
      </c>
      <c r="AT50" s="11">
        <f t="shared" si="124"/>
        <v>189.70596006946846</v>
      </c>
      <c r="AU50" s="11">
        <f t="shared" si="125"/>
        <v>-62.823267295976365</v>
      </c>
      <c r="AV50" s="8">
        <f t="shared" si="126"/>
        <v>32166.666666666668</v>
      </c>
      <c r="AW50" s="8">
        <f t="shared" si="127"/>
        <v>257333.33333333334</v>
      </c>
      <c r="AX50" s="8">
        <f t="shared" si="128"/>
        <v>277541.48431353905</v>
      </c>
      <c r="AY50" s="8">
        <f t="shared" si="129"/>
        <v>-22907.451716190961</v>
      </c>
      <c r="AZ50" s="8">
        <f t="shared" si="130"/>
        <v>0</v>
      </c>
      <c r="BB50">
        <v>2001</v>
      </c>
      <c r="BC50" s="8">
        <v>30416.666666666668</v>
      </c>
      <c r="BD50" s="8">
        <f t="shared" si="131"/>
        <v>26671.34781284479</v>
      </c>
      <c r="BT50" s="56">
        <v>37226</v>
      </c>
      <c r="BU50" s="8">
        <v>24475.768142223358</v>
      </c>
      <c r="BV50" s="8">
        <v>0</v>
      </c>
      <c r="BW50" s="8">
        <v>0</v>
      </c>
      <c r="CB50" s="72">
        <v>1999</v>
      </c>
      <c r="CC50" s="8">
        <v>8590.5236684909705</v>
      </c>
      <c r="CD50" s="8">
        <f>($CL$34*CC18)+($CK$34*CD18)</f>
        <v>7653.1361335197926</v>
      </c>
      <c r="DW50" s="56">
        <v>37257</v>
      </c>
      <c r="DX50">
        <v>16129.481962203978</v>
      </c>
      <c r="DY50">
        <v>0</v>
      </c>
      <c r="DZ50" s="8">
        <v>601.31412124633744</v>
      </c>
      <c r="EF50" s="11">
        <v>2001</v>
      </c>
      <c r="EG50" s="8">
        <v>10050.981330011065</v>
      </c>
      <c r="EH50" s="8">
        <f t="shared" si="133"/>
        <v>8709.9698823741164</v>
      </c>
      <c r="FE50" s="56">
        <v>37257</v>
      </c>
      <c r="FF50" s="8" t="e">
        <f>DX50+#REF!+#REF!</f>
        <v>#REF!</v>
      </c>
      <c r="FG50" s="8" t="e">
        <f>#REF!+DY50+#REF!</f>
        <v>#REF!</v>
      </c>
      <c r="FH50" s="8">
        <f t="shared" si="11"/>
        <v>601.31412124633744</v>
      </c>
    </row>
    <row r="51" spans="1:167" x14ac:dyDescent="0.25">
      <c r="F51" t="s">
        <v>129</v>
      </c>
      <c r="AB51">
        <v>2002</v>
      </c>
      <c r="AC51">
        <v>7</v>
      </c>
      <c r="AD51" s="8">
        <v>274.86153836548317</v>
      </c>
      <c r="AE51" s="8">
        <v>102.74127045273774</v>
      </c>
      <c r="AF51" s="8">
        <v>0</v>
      </c>
      <c r="AG51" s="11">
        <v>20.420000000000002</v>
      </c>
      <c r="AL51" t="s">
        <v>107</v>
      </c>
      <c r="AM51" s="8">
        <f t="shared" ref="AM51:AO51" si="135">AN5</f>
        <v>30416.666666666668</v>
      </c>
      <c r="AN51" s="8">
        <f t="shared" si="135"/>
        <v>163813.50927376002</v>
      </c>
      <c r="AO51" s="8">
        <f t="shared" si="135"/>
        <v>5047.6853840351096</v>
      </c>
      <c r="AR51" t="s">
        <v>107</v>
      </c>
      <c r="AS51" s="8">
        <f t="shared" si="123"/>
        <v>168861.19465779513</v>
      </c>
      <c r="AT51" s="11">
        <f t="shared" si="124"/>
        <v>112.24503311258277</v>
      </c>
      <c r="AU51" s="11">
        <f t="shared" si="125"/>
        <v>-140.28419425286205</v>
      </c>
      <c r="AV51" s="8">
        <f t="shared" si="126"/>
        <v>30416.666666666668</v>
      </c>
      <c r="AW51" s="8">
        <f t="shared" si="127"/>
        <v>243333.33333333334</v>
      </c>
      <c r="AX51" s="8">
        <f t="shared" si="128"/>
        <v>286003.10908524552</v>
      </c>
      <c r="AY51" s="8">
        <f t="shared" si="129"/>
        <v>-117141.91442745039</v>
      </c>
      <c r="AZ51" s="8">
        <f t="shared" si="130"/>
        <v>0</v>
      </c>
      <c r="BB51">
        <v>2002</v>
      </c>
      <c r="BC51" s="8">
        <v>16965.599999999999</v>
      </c>
      <c r="BD51" s="8">
        <f t="shared" si="131"/>
        <v>21874.175553741807</v>
      </c>
      <c r="BT51" s="56">
        <v>37257</v>
      </c>
      <c r="BU51" s="8">
        <v>23613.70414733882</v>
      </c>
      <c r="BV51" s="8">
        <v>0</v>
      </c>
      <c r="BW51" s="8">
        <v>0</v>
      </c>
      <c r="CB51" s="72">
        <v>2000</v>
      </c>
      <c r="CC51" s="8">
        <v>9105.6343933990811</v>
      </c>
      <c r="CD51" s="8">
        <f t="shared" ref="CD51:CD61" si="136">($CL$34*CC19)+($CK$34*CD19)</f>
        <v>8468.2631865715794</v>
      </c>
      <c r="DW51" s="56">
        <v>37288</v>
      </c>
      <c r="DX51">
        <v>4076.9873294830331</v>
      </c>
      <c r="DY51">
        <v>472.99224853515602</v>
      </c>
      <c r="DZ51" s="8">
        <v>0</v>
      </c>
      <c r="EF51" s="11">
        <v>2002</v>
      </c>
      <c r="EG51" s="8">
        <v>2110.1608193234892</v>
      </c>
      <c r="EH51" s="8">
        <f t="shared" si="133"/>
        <v>7821.0119072627831</v>
      </c>
      <c r="FE51" s="56">
        <v>37288</v>
      </c>
      <c r="FF51" s="8" t="e">
        <f>DX51+#REF!+#REF!</f>
        <v>#REF!</v>
      </c>
      <c r="FG51" s="8" t="e">
        <f>#REF!+DY51+#REF!</f>
        <v>#REF!</v>
      </c>
      <c r="FH51" s="8">
        <f t="shared" si="11"/>
        <v>0</v>
      </c>
    </row>
    <row r="52" spans="1:167" x14ac:dyDescent="0.25">
      <c r="A52" t="s">
        <v>126</v>
      </c>
      <c r="AB52">
        <v>2002</v>
      </c>
      <c r="AC52">
        <v>8</v>
      </c>
      <c r="AD52" s="8">
        <v>895.38486149907033</v>
      </c>
      <c r="AE52" s="8">
        <v>0</v>
      </c>
      <c r="AF52" s="8">
        <v>0</v>
      </c>
      <c r="AG52" s="11">
        <v>20.420000000000002</v>
      </c>
      <c r="AL52" t="s">
        <v>108</v>
      </c>
      <c r="AM52" s="8">
        <f t="shared" ref="AM52:AO52" si="137">AN6</f>
        <v>16965.599999999999</v>
      </c>
      <c r="AN52" s="8">
        <f t="shared" si="137"/>
        <v>31075.124840290286</v>
      </c>
      <c r="AO52" s="8">
        <f t="shared" si="137"/>
        <v>225.9688455760479</v>
      </c>
      <c r="AR52" t="s">
        <v>108</v>
      </c>
      <c r="AS52" s="8">
        <f t="shared" si="123"/>
        <v>31301.093685866334</v>
      </c>
      <c r="AT52" s="11">
        <f t="shared" si="124"/>
        <v>185.50231785490024</v>
      </c>
      <c r="AU52" s="11">
        <f t="shared" si="125"/>
        <v>-67.026909510544584</v>
      </c>
      <c r="AV52" s="8">
        <f t="shared" si="126"/>
        <v>16965.599999999999</v>
      </c>
      <c r="AW52" s="8">
        <f t="shared" si="127"/>
        <v>135724.79999999999</v>
      </c>
      <c r="AX52" s="8">
        <f t="shared" si="128"/>
        <v>147096.31735992094</v>
      </c>
      <c r="AY52" s="8">
        <f t="shared" si="129"/>
        <v>-115795.22367405461</v>
      </c>
      <c r="AZ52" s="8">
        <f t="shared" si="130"/>
        <v>0</v>
      </c>
      <c r="BB52">
        <v>2003</v>
      </c>
      <c r="BC52" s="8">
        <v>7827.11</v>
      </c>
      <c r="BD52" s="8">
        <f t="shared" si="131"/>
        <v>3790.2537152312952</v>
      </c>
      <c r="BT52" s="56">
        <v>37288</v>
      </c>
      <c r="BU52" s="8">
        <v>9719.8920211791847</v>
      </c>
      <c r="BV52" s="8">
        <v>2118.2512130737309</v>
      </c>
      <c r="BW52" s="8">
        <v>0</v>
      </c>
      <c r="CB52" s="72">
        <v>2001</v>
      </c>
      <c r="CC52" s="8">
        <v>8430.2953756949773</v>
      </c>
      <c r="CD52" s="8">
        <f t="shared" si="136"/>
        <v>8200.9862472099958</v>
      </c>
      <c r="DW52" s="56">
        <v>37316</v>
      </c>
      <c r="DX52">
        <v>12580.287261009214</v>
      </c>
      <c r="DY52">
        <v>0</v>
      </c>
      <c r="DZ52" s="8">
        <v>0</v>
      </c>
      <c r="EF52" s="11">
        <v>2003</v>
      </c>
      <c r="EG52" s="8">
        <v>471.33384013542189</v>
      </c>
      <c r="EH52" s="8">
        <f t="shared" si="133"/>
        <v>870.13573011516689</v>
      </c>
      <c r="FE52" s="56">
        <v>37316</v>
      </c>
      <c r="FF52" s="8" t="e">
        <f>DX52+#REF!+#REF!</f>
        <v>#REF!</v>
      </c>
      <c r="FG52" s="8" t="e">
        <f>#REF!+DY52+#REF!</f>
        <v>#REF!</v>
      </c>
      <c r="FH52" s="8">
        <f t="shared" si="11"/>
        <v>0</v>
      </c>
    </row>
    <row r="53" spans="1:167" x14ac:dyDescent="0.25">
      <c r="AB53">
        <v>2002</v>
      </c>
      <c r="AC53">
        <v>9</v>
      </c>
      <c r="AD53" s="8">
        <v>684.8457941561943</v>
      </c>
      <c r="AE53" s="8">
        <v>0</v>
      </c>
      <c r="AF53" s="8">
        <v>0</v>
      </c>
      <c r="AG53" s="11">
        <v>20.420000000000002</v>
      </c>
      <c r="AH53" s="11"/>
      <c r="AI53" s="11"/>
      <c r="AL53" t="s">
        <v>109</v>
      </c>
      <c r="AM53" s="8">
        <f t="shared" ref="AM53:AO53" si="138">AN7</f>
        <v>7827.11</v>
      </c>
      <c r="AN53" s="8">
        <f t="shared" si="138"/>
        <v>73533.116025285795</v>
      </c>
      <c r="AO53" s="8">
        <f t="shared" si="138"/>
        <v>10424.644615411766</v>
      </c>
      <c r="AR53" t="s">
        <v>109</v>
      </c>
      <c r="AS53" s="8">
        <f t="shared" si="123"/>
        <v>83957.760640697554</v>
      </c>
      <c r="AT53" s="11">
        <f t="shared" si="124"/>
        <v>166.22185430463577</v>
      </c>
      <c r="AU53" s="11">
        <f t="shared" si="125"/>
        <v>-86.307373060809056</v>
      </c>
      <c r="AV53" s="8">
        <f t="shared" si="126"/>
        <v>7827.11</v>
      </c>
      <c r="AW53" s="8">
        <f t="shared" si="127"/>
        <v>62616.88</v>
      </c>
      <c r="AX53" s="8">
        <f t="shared" si="128"/>
        <v>69372.253027579893</v>
      </c>
      <c r="AY53" s="8">
        <f t="shared" si="129"/>
        <v>14585.507613117661</v>
      </c>
      <c r="AZ53" s="8">
        <f t="shared" si="130"/>
        <v>14585.507613117661</v>
      </c>
      <c r="BB53">
        <v>2004</v>
      </c>
      <c r="BC53" s="8">
        <v>2410.5</v>
      </c>
      <c r="BD53" s="8">
        <f t="shared" si="131"/>
        <v>2488.6764973146824</v>
      </c>
      <c r="BT53" s="56">
        <v>37316</v>
      </c>
      <c r="BU53" s="8">
        <v>21194.4338722229</v>
      </c>
      <c r="BV53" s="8">
        <v>0</v>
      </c>
      <c r="BW53" s="8">
        <v>0</v>
      </c>
      <c r="CB53" s="72">
        <v>2002</v>
      </c>
      <c r="CC53" s="8">
        <v>5807.7737941810401</v>
      </c>
      <c r="CD53" s="8">
        <f t="shared" si="136"/>
        <v>7611.8416644647004</v>
      </c>
      <c r="DW53" s="56">
        <v>37347</v>
      </c>
      <c r="DX53">
        <v>5244.2407650947534</v>
      </c>
      <c r="DY53">
        <v>0</v>
      </c>
      <c r="DZ53" s="8">
        <v>0</v>
      </c>
      <c r="EF53" s="11">
        <v>2004</v>
      </c>
      <c r="EG53" s="8">
        <v>0</v>
      </c>
      <c r="EH53" s="8">
        <f t="shared" si="133"/>
        <v>799.14411473335554</v>
      </c>
      <c r="FE53" s="56">
        <v>37347</v>
      </c>
      <c r="FF53" s="8" t="e">
        <f>DX53+#REF!+#REF!</f>
        <v>#REF!</v>
      </c>
      <c r="FG53" s="8" t="e">
        <f>#REF!+DY53+#REF!</f>
        <v>#REF!</v>
      </c>
      <c r="FH53" s="8">
        <f t="shared" si="11"/>
        <v>0</v>
      </c>
    </row>
    <row r="54" spans="1:167" x14ac:dyDescent="0.25">
      <c r="AB54">
        <v>2002</v>
      </c>
      <c r="AC54">
        <v>10</v>
      </c>
      <c r="AD54" s="8">
        <v>10322.49035063386</v>
      </c>
      <c r="AE54" s="8">
        <v>0.99941784143447898</v>
      </c>
      <c r="AF54" s="8">
        <v>0</v>
      </c>
      <c r="AG54" s="11">
        <v>20.420000000000002</v>
      </c>
      <c r="AH54" s="11"/>
      <c r="AI54" s="11"/>
      <c r="AL54" t="s">
        <v>110</v>
      </c>
      <c r="AM54" s="8">
        <f t="shared" ref="AM54:AO54" si="139">AN8</f>
        <v>2410.5</v>
      </c>
      <c r="AN54" s="8">
        <f t="shared" si="139"/>
        <v>73183.970255484819</v>
      </c>
      <c r="AO54" s="8">
        <f t="shared" si="139"/>
        <v>1589.2710499763486</v>
      </c>
      <c r="AR54" t="s">
        <v>110</v>
      </c>
      <c r="AS54" s="8">
        <f t="shared" si="123"/>
        <v>89358.748918578829</v>
      </c>
      <c r="AT54" s="11">
        <f t="shared" si="124"/>
        <v>178.47947008957138</v>
      </c>
      <c r="AU54" s="11">
        <f t="shared" si="125"/>
        <v>-74.049757275873446</v>
      </c>
      <c r="AV54" s="8">
        <f t="shared" si="126"/>
        <v>2410.5</v>
      </c>
      <c r="AW54" s="8">
        <f t="shared" si="127"/>
        <v>19284</v>
      </c>
      <c r="AX54" s="8">
        <f t="shared" si="128"/>
        <v>21068.96939913493</v>
      </c>
      <c r="AY54" s="8">
        <f t="shared" si="129"/>
        <v>68289.779519443895</v>
      </c>
      <c r="AZ54" s="8">
        <f t="shared" si="130"/>
        <v>68289.779519443895</v>
      </c>
      <c r="BB54">
        <v>2005</v>
      </c>
      <c r="BC54" s="8">
        <v>8353.27</v>
      </c>
      <c r="BD54" s="8">
        <f t="shared" si="131"/>
        <v>6601.9955848461159</v>
      </c>
      <c r="BT54" s="56">
        <v>37347</v>
      </c>
      <c r="BU54" s="8">
        <v>7536.5307250022906</v>
      </c>
      <c r="BV54" s="8">
        <v>0</v>
      </c>
      <c r="BW54" s="8">
        <v>0</v>
      </c>
      <c r="CB54" s="72">
        <v>2003</v>
      </c>
      <c r="CC54" s="8">
        <v>3043.2507632939432</v>
      </c>
      <c r="CD54" s="8">
        <f t="shared" si="136"/>
        <v>694.33506822149718</v>
      </c>
      <c r="DW54" s="56">
        <v>37377</v>
      </c>
      <c r="DX54">
        <v>909.02757692337036</v>
      </c>
      <c r="DY54">
        <v>0</v>
      </c>
      <c r="DZ54" s="8">
        <v>0</v>
      </c>
      <c r="EF54" s="11">
        <v>2005</v>
      </c>
      <c r="EG54" s="8">
        <v>1418.9470152744718</v>
      </c>
      <c r="EH54" s="8">
        <f t="shared" si="133"/>
        <v>2100.4140493309324</v>
      </c>
      <c r="FE54" s="56">
        <v>37377</v>
      </c>
      <c r="FF54" s="8" t="e">
        <f>DX54+#REF!+#REF!</f>
        <v>#REF!</v>
      </c>
      <c r="FG54" s="8" t="e">
        <f>#REF!+DY54+#REF!</f>
        <v>#REF!</v>
      </c>
      <c r="FH54" s="8">
        <f t="shared" si="11"/>
        <v>0</v>
      </c>
    </row>
    <row r="55" spans="1:167" x14ac:dyDescent="0.25">
      <c r="AB55">
        <v>2002</v>
      </c>
      <c r="AC55">
        <v>11</v>
      </c>
      <c r="AD55" s="8">
        <v>7814.98797953129</v>
      </c>
      <c r="AE55" s="8">
        <v>2.5736029148101802</v>
      </c>
      <c r="AF55" s="8">
        <v>0</v>
      </c>
      <c r="AG55" s="11">
        <v>20.420000000000002</v>
      </c>
      <c r="AH55" s="11"/>
      <c r="AI55" s="11"/>
      <c r="AL55" t="s">
        <v>111</v>
      </c>
      <c r="AM55" s="8">
        <f t="shared" ref="AM55:AO55" si="140">AN9</f>
        <v>8353.27</v>
      </c>
      <c r="AN55" s="8">
        <f t="shared" si="140"/>
        <v>158742.9722597599</v>
      </c>
      <c r="AO55" s="8">
        <f t="shared" si="140"/>
        <v>11687.210619851952</v>
      </c>
      <c r="AR55" t="s">
        <v>111</v>
      </c>
      <c r="AS55" s="8">
        <f t="shared" si="123"/>
        <v>238719.96239905574</v>
      </c>
      <c r="AT55" s="11">
        <f t="shared" si="124"/>
        <v>165.4993376765425</v>
      </c>
      <c r="AU55" s="11">
        <f t="shared" si="125"/>
        <v>-87.02988968890233</v>
      </c>
      <c r="AV55" s="8">
        <f t="shared" si="126"/>
        <v>8353.27</v>
      </c>
      <c r="AW55" s="8">
        <f t="shared" si="127"/>
        <v>66826.16</v>
      </c>
      <c r="AX55" s="8">
        <f t="shared" si="128"/>
        <v>74096.001666416181</v>
      </c>
      <c r="AY55" s="8">
        <f t="shared" si="129"/>
        <v>164623.96073263956</v>
      </c>
      <c r="AZ55" s="8">
        <f t="shared" si="130"/>
        <v>164623.96073263956</v>
      </c>
      <c r="BB55">
        <v>2006</v>
      </c>
      <c r="BC55" s="8">
        <v>6947.670000000001</v>
      </c>
      <c r="BD55" s="8">
        <f t="shared" si="131"/>
        <v>6019.3985157604811</v>
      </c>
      <c r="BT55" s="56">
        <v>37377</v>
      </c>
      <c r="BU55" s="8">
        <v>887.47667789459274</v>
      </c>
      <c r="BV55" s="8">
        <v>0</v>
      </c>
      <c r="BW55" s="8">
        <v>0</v>
      </c>
      <c r="CB55" s="72">
        <v>2004</v>
      </c>
      <c r="CC55" s="8">
        <v>0</v>
      </c>
      <c r="CD55" s="8">
        <f t="shared" si="136"/>
        <v>713.55616033302249</v>
      </c>
      <c r="DW55" s="56">
        <v>37408</v>
      </c>
      <c r="DX55">
        <v>54.110254764556892</v>
      </c>
      <c r="DY55">
        <v>0</v>
      </c>
      <c r="DZ55" s="8">
        <v>0</v>
      </c>
      <c r="EF55" s="11">
        <v>2006</v>
      </c>
      <c r="EG55" s="8">
        <v>732.2141804787002</v>
      </c>
      <c r="EH55" s="8">
        <f t="shared" si="133"/>
        <v>2341.6343410052573</v>
      </c>
      <c r="FE55" s="56">
        <v>37408</v>
      </c>
      <c r="FF55" s="8" t="e">
        <f>DX55+#REF!+#REF!</f>
        <v>#REF!</v>
      </c>
      <c r="FG55" s="8" t="e">
        <f>#REF!+DY55+#REF!</f>
        <v>#REF!</v>
      </c>
      <c r="FH55" s="8">
        <f t="shared" si="11"/>
        <v>0</v>
      </c>
    </row>
    <row r="56" spans="1:167" x14ac:dyDescent="0.25">
      <c r="AB56">
        <v>2002</v>
      </c>
      <c r="AC56">
        <v>12</v>
      </c>
      <c r="AD56" s="8">
        <v>6042.9455327987707</v>
      </c>
      <c r="AE56" s="8">
        <v>0</v>
      </c>
      <c r="AF56" s="8">
        <v>0</v>
      </c>
      <c r="AG56" s="11">
        <v>20.420000000000002</v>
      </c>
      <c r="AL56" t="s">
        <v>112</v>
      </c>
      <c r="AM56" s="8">
        <f t="shared" ref="AM56:AO56" si="141">AN10</f>
        <v>6947.670000000001</v>
      </c>
      <c r="AN56" s="8">
        <f t="shared" si="141"/>
        <v>193126.78822884901</v>
      </c>
      <c r="AO56" s="8">
        <f t="shared" si="141"/>
        <v>442.83332812786085</v>
      </c>
      <c r="AR56" t="s">
        <v>112</v>
      </c>
      <c r="AS56" s="8">
        <f t="shared" si="123"/>
        <v>358193.58228961646</v>
      </c>
      <c r="AT56" s="11">
        <f t="shared" si="124"/>
        <v>419.07615894039736</v>
      </c>
      <c r="AU56" s="11">
        <f t="shared" si="125"/>
        <v>166.54693157495254</v>
      </c>
      <c r="AV56" s="8">
        <f t="shared" si="126"/>
        <v>6947.670000000001</v>
      </c>
      <c r="AW56" s="8">
        <f>AV56*$AY$45</f>
        <v>69476.700000000012</v>
      </c>
      <c r="AX56" s="8">
        <f t="shared" si="128"/>
        <v>57905.568799046509</v>
      </c>
      <c r="AY56" s="8">
        <f t="shared" si="129"/>
        <v>300288.01349056995</v>
      </c>
      <c r="AZ56" s="8">
        <f t="shared" si="130"/>
        <v>300288.01349056995</v>
      </c>
      <c r="BB56">
        <v>2007</v>
      </c>
      <c r="BC56" s="8">
        <v>294.15999999999997</v>
      </c>
      <c r="BD56" s="8">
        <f t="shared" si="131"/>
        <v>2251.2991765741344</v>
      </c>
      <c r="BT56" s="56">
        <v>37408</v>
      </c>
      <c r="BU56" s="8">
        <v>82.385790348052964</v>
      </c>
      <c r="BV56" s="8">
        <v>0</v>
      </c>
      <c r="BW56" s="8">
        <v>0</v>
      </c>
      <c r="CB56" s="72">
        <v>2005</v>
      </c>
      <c r="CC56" s="8">
        <v>1837.5732287414171</v>
      </c>
      <c r="CD56" s="8">
        <f t="shared" si="136"/>
        <v>1151.5314053433106</v>
      </c>
      <c r="DW56" s="56">
        <v>37438</v>
      </c>
      <c r="DX56">
        <v>800.98537075519585</v>
      </c>
      <c r="DY56">
        <v>0</v>
      </c>
      <c r="DZ56" s="8">
        <v>56.932771563530011</v>
      </c>
      <c r="EF56" s="11">
        <v>2007</v>
      </c>
      <c r="EG56" s="8">
        <v>0</v>
      </c>
      <c r="EH56" s="8">
        <f t="shared" si="133"/>
        <v>633.37377344974891</v>
      </c>
      <c r="FE56" s="56">
        <v>37438</v>
      </c>
      <c r="FF56" s="8" t="e">
        <f>DX56+#REF!+#REF!</f>
        <v>#REF!</v>
      </c>
      <c r="FG56" s="8" t="e">
        <f>#REF!+DY56+#REF!</f>
        <v>#REF!</v>
      </c>
      <c r="FH56" s="8">
        <f t="shared" si="11"/>
        <v>56.932771563530011</v>
      </c>
    </row>
    <row r="57" spans="1:167" x14ac:dyDescent="0.25">
      <c r="AB57">
        <v>2003</v>
      </c>
      <c r="AC57">
        <v>1</v>
      </c>
      <c r="AD57" s="8">
        <v>4037.0323263406735</v>
      </c>
      <c r="AE57" s="8">
        <v>0</v>
      </c>
      <c r="AF57" s="8">
        <v>0</v>
      </c>
      <c r="AG57" s="11">
        <v>20.420000000000002</v>
      </c>
      <c r="AL57" t="s">
        <v>113</v>
      </c>
      <c r="AM57" s="8">
        <f t="shared" ref="AM57:AO57" si="142">AN11</f>
        <v>294.15999999999997</v>
      </c>
      <c r="AN57" s="8">
        <f t="shared" si="142"/>
        <v>58903.096612824142</v>
      </c>
      <c r="AO57" s="8">
        <f t="shared" si="142"/>
        <v>2978.4039565920839</v>
      </c>
      <c r="AR57" t="s">
        <v>113</v>
      </c>
      <c r="AS57" s="8">
        <f t="shared" ref="AS57:AS62" si="143">AN57+AO57+AZ56</f>
        <v>362169.51405998616</v>
      </c>
      <c r="AT57" s="11">
        <f t="shared" ref="AT57:AT62" si="144">P13</f>
        <v>311.88245026796858</v>
      </c>
      <c r="AU57" s="11">
        <f t="shared" ref="AU57:AU62" si="145">P13-$P$20</f>
        <v>59.353222902523754</v>
      </c>
      <c r="AV57" s="8">
        <f t="shared" ref="AV57:AV62" si="146">AM57</f>
        <v>294.15999999999997</v>
      </c>
      <c r="AW57" s="8">
        <f t="shared" ref="AW57:AW62" si="147">AV57*$AY$45</f>
        <v>2941.5999999999995</v>
      </c>
      <c r="AX57" s="8">
        <f t="shared" ref="AX57:AX62" si="148">AW57-(AV57*(AU57/100))</f>
        <v>2767.0065595099354</v>
      </c>
      <c r="AY57" s="8">
        <f t="shared" ref="AY57:AY62" si="149">AS57-AX57</f>
        <v>359402.5075004762</v>
      </c>
      <c r="AZ57" s="8">
        <f t="shared" ref="AZ57:AZ62" si="150">IF(AY57&gt;0,AY57,0)</f>
        <v>359402.5075004762</v>
      </c>
      <c r="BB57">
        <v>2008</v>
      </c>
      <c r="BC57" s="8">
        <v>1305.8499999999999</v>
      </c>
      <c r="BD57" s="8">
        <f t="shared" si="131"/>
        <v>1845.716046692814</v>
      </c>
      <c r="BT57" s="56">
        <v>37438</v>
      </c>
      <c r="BU57" s="8">
        <v>249.85543060302737</v>
      </c>
      <c r="BV57" s="8">
        <v>0</v>
      </c>
      <c r="BW57" s="8">
        <v>0</v>
      </c>
      <c r="CB57" s="72">
        <v>2006</v>
      </c>
      <c r="CC57" s="8">
        <v>1845.7767948807088</v>
      </c>
      <c r="CD57" s="8">
        <f t="shared" si="136"/>
        <v>1832.7230713368349</v>
      </c>
      <c r="DW57" s="56">
        <v>37469</v>
      </c>
      <c r="DX57">
        <v>1272.1013203859334</v>
      </c>
      <c r="DY57">
        <v>0</v>
      </c>
      <c r="DZ57" s="8">
        <v>75.938641548156781</v>
      </c>
      <c r="EF57" s="11">
        <v>2008</v>
      </c>
      <c r="EG57" s="8">
        <v>0</v>
      </c>
      <c r="EH57" s="8">
        <f t="shared" si="133"/>
        <v>741.13457093877628</v>
      </c>
      <c r="FE57" s="56">
        <v>37469</v>
      </c>
      <c r="FF57" s="8" t="e">
        <f>DX57+#REF!+#REF!</f>
        <v>#REF!</v>
      </c>
      <c r="FG57" s="8" t="e">
        <f>#REF!+DY57+#REF!</f>
        <v>#REF!</v>
      </c>
      <c r="FH57" s="8">
        <f t="shared" si="11"/>
        <v>75.938641548156781</v>
      </c>
    </row>
    <row r="58" spans="1:167" x14ac:dyDescent="0.25">
      <c r="AB58">
        <v>2003</v>
      </c>
      <c r="AC58">
        <v>2</v>
      </c>
      <c r="AD58" s="8">
        <v>570.48731321189553</v>
      </c>
      <c r="AE58" s="8">
        <v>21.833135604858398</v>
      </c>
      <c r="AF58" s="8">
        <v>0</v>
      </c>
      <c r="AG58" s="11">
        <v>20.420000000000002</v>
      </c>
      <c r="AL58" t="s">
        <v>114</v>
      </c>
      <c r="AM58" s="8">
        <f t="shared" ref="AM58:AO58" si="151">AN12</f>
        <v>1305.8499999999999</v>
      </c>
      <c r="AN58" s="8">
        <f t="shared" si="151"/>
        <v>59592.572771675885</v>
      </c>
      <c r="AO58" s="8">
        <f t="shared" si="151"/>
        <v>56.749084472656236</v>
      </c>
      <c r="AR58" t="s">
        <v>114</v>
      </c>
      <c r="AS58" s="8">
        <f t="shared" si="143"/>
        <v>419051.82935662474</v>
      </c>
      <c r="AT58" s="11">
        <f t="shared" si="144"/>
        <v>378.36821224200014</v>
      </c>
      <c r="AU58" s="11">
        <f t="shared" si="145"/>
        <v>125.83898487655532</v>
      </c>
      <c r="AV58" s="8">
        <f t="shared" si="146"/>
        <v>1305.8499999999999</v>
      </c>
      <c r="AW58" s="8">
        <f t="shared" si="147"/>
        <v>13058.5</v>
      </c>
      <c r="AX58" s="8">
        <f t="shared" si="148"/>
        <v>11415.231615989502</v>
      </c>
      <c r="AY58" s="8">
        <f t="shared" si="149"/>
        <v>407636.59774063522</v>
      </c>
      <c r="AZ58" s="8">
        <f t="shared" si="150"/>
        <v>407636.59774063522</v>
      </c>
      <c r="BB58">
        <v>2009</v>
      </c>
      <c r="BC58" s="8">
        <v>2388.0499999999997</v>
      </c>
      <c r="BD58" s="8">
        <f t="shared" si="131"/>
        <v>2561.4234453836657</v>
      </c>
      <c r="BT58" s="56">
        <v>37469</v>
      </c>
      <c r="BU58" s="8">
        <v>327.78149604797352</v>
      </c>
      <c r="BV58" s="8">
        <v>0</v>
      </c>
      <c r="BW58" s="8">
        <v>0</v>
      </c>
      <c r="CB58" s="72">
        <v>2007</v>
      </c>
      <c r="CC58" s="8">
        <v>0</v>
      </c>
      <c r="CD58" s="8">
        <f t="shared" si="136"/>
        <v>559.61790741727418</v>
      </c>
      <c r="DW58" s="56">
        <v>37500</v>
      </c>
      <c r="DX58">
        <v>159.18151187896723</v>
      </c>
      <c r="DY58">
        <v>0</v>
      </c>
      <c r="DZ58" s="8">
        <v>118.52027893066408</v>
      </c>
      <c r="EF58" s="11">
        <v>2009</v>
      </c>
      <c r="EG58" s="8">
        <v>0</v>
      </c>
      <c r="EH58" s="8">
        <f t="shared" si="133"/>
        <v>229.17367819500089</v>
      </c>
      <c r="FE58" s="56">
        <v>37500</v>
      </c>
      <c r="FF58" s="8" t="e">
        <f>DX58+#REF!+#REF!</f>
        <v>#REF!</v>
      </c>
      <c r="FG58" s="8" t="e">
        <f>#REF!+DY58+#REF!</f>
        <v>#REF!</v>
      </c>
      <c r="FH58" s="8">
        <f t="shared" si="11"/>
        <v>118.52027893066408</v>
      </c>
    </row>
    <row r="59" spans="1:167" x14ac:dyDescent="0.25">
      <c r="AB59">
        <v>2003</v>
      </c>
      <c r="AC59">
        <v>3</v>
      </c>
      <c r="AD59" s="8">
        <v>432.0891437530513</v>
      </c>
      <c r="AE59" s="8">
        <v>97.821418762207102</v>
      </c>
      <c r="AF59" s="8">
        <v>0</v>
      </c>
      <c r="AG59" s="11">
        <v>20.420000000000002</v>
      </c>
      <c r="AH59" s="11">
        <f>SUM(AD51:AD59)</f>
        <v>31075.124840290286</v>
      </c>
      <c r="AI59" s="11">
        <f>SUM(AE51:AE59)</f>
        <v>225.9688455760479</v>
      </c>
      <c r="AL59" t="s">
        <v>115</v>
      </c>
      <c r="AM59" s="8">
        <f t="shared" ref="AM59:AO59" si="152">AN13</f>
        <v>2388.0499999999997</v>
      </c>
      <c r="AN59" s="8">
        <f t="shared" si="152"/>
        <v>18889.898554503918</v>
      </c>
      <c r="AO59" s="8">
        <f t="shared" si="152"/>
        <v>13545.819396734234</v>
      </c>
      <c r="AR59" t="s">
        <v>115</v>
      </c>
      <c r="AS59" s="8">
        <f t="shared" si="143"/>
        <v>440072.31569187337</v>
      </c>
      <c r="AT59" s="11">
        <f t="shared" si="144"/>
        <v>433.36125849414344</v>
      </c>
      <c r="AU59" s="11">
        <f t="shared" si="145"/>
        <v>180.83203112869862</v>
      </c>
      <c r="AV59" s="8">
        <f t="shared" si="146"/>
        <v>2388.0499999999997</v>
      </c>
      <c r="AW59" s="8">
        <f t="shared" si="147"/>
        <v>23880.499999999996</v>
      </c>
      <c r="AX59" s="8">
        <f t="shared" si="148"/>
        <v>19562.14068063111</v>
      </c>
      <c r="AY59" s="8">
        <f t="shared" si="149"/>
        <v>420510.17501124227</v>
      </c>
      <c r="AZ59" s="8">
        <f t="shared" si="150"/>
        <v>420510.17501124227</v>
      </c>
      <c r="BB59">
        <v>2010</v>
      </c>
      <c r="BC59" s="8">
        <v>7632.76</v>
      </c>
      <c r="BD59" s="8">
        <f t="shared" si="131"/>
        <v>11527.353167813664</v>
      </c>
      <c r="BT59" s="56">
        <v>37500</v>
      </c>
      <c r="BU59" s="8">
        <v>53.722686767578196</v>
      </c>
      <c r="BV59" s="8">
        <v>0</v>
      </c>
      <c r="BW59" s="8">
        <v>0</v>
      </c>
      <c r="CB59" s="72">
        <v>2008</v>
      </c>
      <c r="CC59" s="8">
        <v>0</v>
      </c>
      <c r="CD59" s="8">
        <f t="shared" si="136"/>
        <v>605.99900148625477</v>
      </c>
      <c r="DW59" s="56">
        <v>37530</v>
      </c>
      <c r="DX59">
        <v>2686.5935381650934</v>
      </c>
      <c r="DY59">
        <v>0</v>
      </c>
      <c r="DZ59" s="8">
        <v>580.91527748107762</v>
      </c>
      <c r="EF59" s="11">
        <v>2010</v>
      </c>
      <c r="EG59" s="8">
        <v>4376.3509023808228</v>
      </c>
      <c r="EH59" s="8">
        <f t="shared" si="133"/>
        <v>3129.8712824681793</v>
      </c>
      <c r="FE59" s="56">
        <v>37530</v>
      </c>
      <c r="FF59" s="8" t="e">
        <f>DX59+#REF!+#REF!</f>
        <v>#REF!</v>
      </c>
      <c r="FG59" s="8" t="e">
        <f>#REF!+DY59+#REF!</f>
        <v>#REF!</v>
      </c>
      <c r="FH59" s="8">
        <f t="shared" si="11"/>
        <v>580.91527748107762</v>
      </c>
    </row>
    <row r="60" spans="1:167" x14ac:dyDescent="0.25">
      <c r="AB60">
        <v>2003</v>
      </c>
      <c r="AC60">
        <v>4</v>
      </c>
      <c r="AD60" s="8">
        <v>14.807014793157595</v>
      </c>
      <c r="AE60" s="8">
        <v>0</v>
      </c>
      <c r="AF60" s="8">
        <v>0</v>
      </c>
      <c r="AG60" s="11">
        <v>20.420000000000002</v>
      </c>
      <c r="AL60" t="s">
        <v>116</v>
      </c>
      <c r="AM60" s="8">
        <f t="shared" ref="AM60:AO60" si="153">AN14</f>
        <v>7632.76</v>
      </c>
      <c r="AN60" s="8">
        <f t="shared" si="153"/>
        <v>239248.15699941292</v>
      </c>
      <c r="AO60" s="8">
        <f t="shared" si="153"/>
        <v>28409.999975323681</v>
      </c>
      <c r="AR60" t="s">
        <v>116</v>
      </c>
      <c r="AS60" s="8">
        <f t="shared" si="143"/>
        <v>688168.33198597888</v>
      </c>
      <c r="AT60" s="11">
        <f t="shared" si="144"/>
        <v>418.33211888066978</v>
      </c>
      <c r="AU60" s="11">
        <f t="shared" si="145"/>
        <v>165.80289151522496</v>
      </c>
      <c r="AV60" s="8">
        <f t="shared" si="146"/>
        <v>7632.76</v>
      </c>
      <c r="AW60" s="8">
        <f t="shared" si="147"/>
        <v>76327.600000000006</v>
      </c>
      <c r="AX60" s="8">
        <f t="shared" si="148"/>
        <v>63672.26321758252</v>
      </c>
      <c r="AY60" s="8">
        <f t="shared" si="149"/>
        <v>624496.06876839639</v>
      </c>
      <c r="AZ60" s="8">
        <f t="shared" si="150"/>
        <v>624496.06876839639</v>
      </c>
      <c r="BB60">
        <v>2011</v>
      </c>
      <c r="BC60" s="8">
        <v>21502</v>
      </c>
      <c r="BD60" s="8">
        <f>($BE$39*AX36)+($BD$39*BA36)+($BC$39*AZ36)</f>
        <v>29027.412262040205</v>
      </c>
      <c r="BT60" s="56">
        <v>37530</v>
      </c>
      <c r="BU60" s="8">
        <v>2601.1996734142285</v>
      </c>
      <c r="BV60" s="8">
        <v>0</v>
      </c>
      <c r="BW60" s="8">
        <v>0</v>
      </c>
      <c r="CB60" s="72">
        <v>2009</v>
      </c>
      <c r="CC60" s="8">
        <v>0</v>
      </c>
      <c r="CD60" s="8">
        <f t="shared" si="136"/>
        <v>132.13975060761473</v>
      </c>
      <c r="DW60" s="56">
        <v>37561</v>
      </c>
      <c r="DX60">
        <v>8518.3075542450133</v>
      </c>
      <c r="DY60">
        <v>0</v>
      </c>
      <c r="DZ60" s="8">
        <v>1431.2249908447272</v>
      </c>
      <c r="EA60" s="56">
        <f>DW60</f>
        <v>37561</v>
      </c>
      <c r="EB60" s="8">
        <f>SUM(DZ56:DZ64)</f>
        <v>3049.0293053388582</v>
      </c>
      <c r="EC60" s="8">
        <f>SUM(DX56:DX64)</f>
        <v>20855.422476694006</v>
      </c>
      <c r="ED60" s="8">
        <f>SUM(DY56:DY64)</f>
        <v>0</v>
      </c>
      <c r="EF60" s="11">
        <v>2011</v>
      </c>
      <c r="EG60" s="8">
        <v>8491.3056513240426</v>
      </c>
      <c r="EH60" s="8">
        <f>($EM$27*EG37)+($EL$27*EI37)</f>
        <v>8652.0350674291803</v>
      </c>
      <c r="FE60" s="56">
        <v>37561</v>
      </c>
      <c r="FF60" s="8" t="e">
        <f>DX60+#REF!+#REF!</f>
        <v>#REF!</v>
      </c>
      <c r="FG60" s="8" t="e">
        <f>#REF!+DY60+#REF!</f>
        <v>#REF!</v>
      </c>
      <c r="FH60" s="8">
        <f t="shared" si="11"/>
        <v>1431.2249908447272</v>
      </c>
      <c r="FI60" s="8" t="e">
        <f>SUM(FF56:FF64)</f>
        <v>#REF!</v>
      </c>
      <c r="FJ60" s="8" t="e">
        <f>SUM(FG56:FG64)</f>
        <v>#REF!</v>
      </c>
      <c r="FK60" s="8">
        <f>SUM(FH56:FH64)</f>
        <v>3049.0293053388582</v>
      </c>
    </row>
    <row r="61" spans="1:167" x14ac:dyDescent="0.25">
      <c r="AB61">
        <v>2003</v>
      </c>
      <c r="AC61">
        <v>5</v>
      </c>
      <c r="AD61" s="8">
        <v>7.5055540502071478</v>
      </c>
      <c r="AE61" s="8">
        <v>0</v>
      </c>
      <c r="AF61" s="8">
        <v>0</v>
      </c>
      <c r="AG61" s="11">
        <v>20.420000000000002</v>
      </c>
      <c r="AL61" t="s">
        <v>117</v>
      </c>
      <c r="AM61" s="8">
        <f t="shared" ref="AM61:AO61" si="154">AN15</f>
        <v>21502</v>
      </c>
      <c r="AN61" s="8">
        <f t="shared" si="154"/>
        <v>140681.00045304373</v>
      </c>
      <c r="AO61" s="8">
        <f t="shared" si="154"/>
        <v>26056.56873244049</v>
      </c>
      <c r="AR61" t="s">
        <v>117</v>
      </c>
      <c r="AS61" s="8">
        <f t="shared" si="143"/>
        <v>791233.63795388059</v>
      </c>
      <c r="AT61" s="11">
        <f t="shared" si="144"/>
        <v>90.090728342138377</v>
      </c>
      <c r="AU61" s="11">
        <f t="shared" si="145"/>
        <v>-162.43849902330646</v>
      </c>
      <c r="AV61" s="8">
        <f t="shared" si="146"/>
        <v>21502</v>
      </c>
      <c r="AW61" s="8">
        <f t="shared" si="147"/>
        <v>215020</v>
      </c>
      <c r="AX61" s="8">
        <f t="shared" si="148"/>
        <v>249947.52605999136</v>
      </c>
      <c r="AY61" s="8">
        <f t="shared" si="149"/>
        <v>541286.11189388926</v>
      </c>
      <c r="AZ61" s="8">
        <f t="shared" si="150"/>
        <v>541286.11189388926</v>
      </c>
      <c r="BB61">
        <v>2012</v>
      </c>
      <c r="BC61" s="8">
        <v>21688.929999999993</v>
      </c>
      <c r="BD61" s="8">
        <f>($BE$39*AX37)+($BD$39*BA37)+($BC$39*AZ37)</f>
        <v>31412.426169388298</v>
      </c>
      <c r="BT61" s="56">
        <v>37561</v>
      </c>
      <c r="BU61" s="8">
        <v>9882.8643264770544</v>
      </c>
      <c r="BV61" s="8">
        <v>0</v>
      </c>
      <c r="BW61" s="8">
        <v>0</v>
      </c>
      <c r="BX61" s="8">
        <f>SUM(BW57:BW65)</f>
        <v>0</v>
      </c>
      <c r="BY61" s="8">
        <f>SUM(BU57:BU65)</f>
        <v>45849.417540311806</v>
      </c>
      <c r="BZ61" s="8">
        <f>SUM(BV49:BV60)</f>
        <v>2118.2512130737309</v>
      </c>
      <c r="CB61" s="72">
        <v>2010</v>
      </c>
      <c r="CC61" s="8">
        <v>1233.1897684172309</v>
      </c>
      <c r="CD61" s="8">
        <f t="shared" si="136"/>
        <v>1707.0435457051897</v>
      </c>
      <c r="DW61" s="56">
        <v>37591</v>
      </c>
      <c r="DX61">
        <v>5675.1621294021579</v>
      </c>
      <c r="DY61">
        <v>0</v>
      </c>
      <c r="DZ61" s="8">
        <v>785.49734497070267</v>
      </c>
      <c r="EF61" s="11">
        <v>2012</v>
      </c>
      <c r="EG61" s="8">
        <v>7241.0298664883567</v>
      </c>
      <c r="EH61" s="8">
        <f>($EM$27*EG38)+($EL$27*EI38)</f>
        <v>10734.318863323322</v>
      </c>
      <c r="FE61" s="56">
        <v>37591</v>
      </c>
      <c r="FF61" s="8" t="e">
        <f>DX61+#REF!+#REF!</f>
        <v>#REF!</v>
      </c>
      <c r="FG61" s="8" t="e">
        <f>#REF!+DY61+#REF!</f>
        <v>#REF!</v>
      </c>
      <c r="FH61" s="8">
        <f t="shared" si="11"/>
        <v>785.49734497070267</v>
      </c>
    </row>
    <row r="62" spans="1:167" x14ac:dyDescent="0.25">
      <c r="AB62">
        <v>2003</v>
      </c>
      <c r="AC62">
        <v>6</v>
      </c>
      <c r="AD62" s="8">
        <v>0</v>
      </c>
      <c r="AE62" s="8">
        <v>0</v>
      </c>
      <c r="AF62" s="8">
        <v>0</v>
      </c>
      <c r="AG62" s="11">
        <v>20.420000000000002</v>
      </c>
      <c r="AL62" t="s">
        <v>118</v>
      </c>
      <c r="AM62" s="8">
        <f t="shared" ref="AM62:AO62" si="155">AN16</f>
        <v>21688.929999999993</v>
      </c>
      <c r="AN62" s="8">
        <f t="shared" si="155"/>
        <v>274626.00134743698</v>
      </c>
      <c r="AO62" s="8">
        <f t="shared" si="155"/>
        <v>14112.846273761234</v>
      </c>
      <c r="AR62" t="s">
        <v>118</v>
      </c>
      <c r="AS62" s="8">
        <f t="shared" si="143"/>
        <v>830024.95951508754</v>
      </c>
      <c r="AT62" s="11">
        <f t="shared" si="144"/>
        <v>128.20463564636691</v>
      </c>
      <c r="AU62" s="11">
        <f t="shared" si="145"/>
        <v>-124.32459171907792</v>
      </c>
      <c r="AV62" s="8">
        <f t="shared" si="146"/>
        <v>21688.929999999993</v>
      </c>
      <c r="AW62" s="8">
        <f t="shared" si="147"/>
        <v>216889.29999999993</v>
      </c>
      <c r="AX62" s="8">
        <f t="shared" si="148"/>
        <v>243853.97367073654</v>
      </c>
      <c r="AY62" s="8">
        <f t="shared" si="149"/>
        <v>586170.985844351</v>
      </c>
      <c r="AZ62" s="8">
        <f t="shared" si="150"/>
        <v>586170.985844351</v>
      </c>
      <c r="BT62" s="56">
        <v>37591</v>
      </c>
      <c r="BU62" s="8">
        <v>14320.040222167969</v>
      </c>
      <c r="BV62" s="8">
        <v>0</v>
      </c>
      <c r="BW62" s="8">
        <v>0</v>
      </c>
      <c r="CB62" s="72">
        <v>2011</v>
      </c>
      <c r="CC62" s="8">
        <v>8503.4024183666224</v>
      </c>
      <c r="CD62" s="8">
        <f>($CL$34*CC30)+($CK$34*CE30)</f>
        <v>8027.9511375516695</v>
      </c>
      <c r="DW62" s="56">
        <v>37622</v>
      </c>
      <c r="DX62">
        <v>714.00451259315014</v>
      </c>
      <c r="DY62">
        <v>0</v>
      </c>
      <c r="DZ62" s="8">
        <v>0</v>
      </c>
      <c r="FE62" s="56">
        <v>37622</v>
      </c>
      <c r="FF62" s="8" t="e">
        <f>DX62+#REF!+#REF!</f>
        <v>#REF!</v>
      </c>
      <c r="FG62" s="8" t="e">
        <f>#REF!+DY62+#REF!</f>
        <v>#REF!</v>
      </c>
      <c r="FH62" s="8">
        <f t="shared" si="11"/>
        <v>0</v>
      </c>
    </row>
    <row r="63" spans="1:167" x14ac:dyDescent="0.25">
      <c r="AB63">
        <v>2003</v>
      </c>
      <c r="AC63">
        <v>7</v>
      </c>
      <c r="AD63" s="8">
        <v>8.0740283206105232</v>
      </c>
      <c r="AE63" s="8">
        <v>0</v>
      </c>
      <c r="AF63" s="8">
        <v>0</v>
      </c>
      <c r="AG63" s="11">
        <v>3.5392000000000001</v>
      </c>
      <c r="BT63" s="56">
        <v>37622</v>
      </c>
      <c r="BU63" s="8">
        <v>8636.1442260742206</v>
      </c>
      <c r="BV63" s="8">
        <v>0</v>
      </c>
      <c r="BW63" s="8">
        <v>0</v>
      </c>
      <c r="CB63" s="72">
        <v>2012</v>
      </c>
      <c r="CC63" s="8">
        <v>7293.3341842067794</v>
      </c>
      <c r="CD63" s="8">
        <f>($CL$34*CC31)+($CK$34*CE31)</f>
        <v>9054.8695226792679</v>
      </c>
      <c r="DW63" s="56">
        <v>37653</v>
      </c>
      <c r="DX63">
        <v>535.67616844177246</v>
      </c>
      <c r="DY63">
        <v>0</v>
      </c>
      <c r="DZ63" s="8">
        <v>0</v>
      </c>
      <c r="FE63" s="56">
        <v>37653</v>
      </c>
      <c r="FF63" s="8" t="e">
        <f>DX63+#REF!+#REF!</f>
        <v>#REF!</v>
      </c>
      <c r="FG63" s="8" t="e">
        <f>#REF!+DY63+#REF!</f>
        <v>#REF!</v>
      </c>
      <c r="FH63" s="8">
        <f t="shared" si="11"/>
        <v>0</v>
      </c>
    </row>
    <row r="64" spans="1:167" x14ac:dyDescent="0.25">
      <c r="AB64">
        <v>2003</v>
      </c>
      <c r="AC64">
        <v>8</v>
      </c>
      <c r="AD64" s="8">
        <v>18.673351049423214</v>
      </c>
      <c r="AE64" s="8">
        <v>10398.129150629051</v>
      </c>
      <c r="AF64" s="8">
        <v>0</v>
      </c>
      <c r="AG64" s="11">
        <v>3.5392000000000001</v>
      </c>
      <c r="BT64" s="56">
        <v>37653</v>
      </c>
      <c r="BU64" s="8">
        <v>4929.1676483154233</v>
      </c>
      <c r="BV64" s="8">
        <v>61.5441379547119</v>
      </c>
      <c r="BW64" s="8">
        <v>0</v>
      </c>
      <c r="DW64" s="56">
        <v>37681</v>
      </c>
      <c r="DX64">
        <v>493.4103708267217</v>
      </c>
      <c r="DY64">
        <v>0</v>
      </c>
      <c r="DZ64" s="8">
        <v>0</v>
      </c>
      <c r="FE64" s="56">
        <v>37681</v>
      </c>
      <c r="FF64" s="8" t="e">
        <f>DX64+#REF!+#REF!</f>
        <v>#REF!</v>
      </c>
      <c r="FG64" s="8" t="e">
        <f>#REF!+DY64+#REF!</f>
        <v>#REF!</v>
      </c>
      <c r="FH64" s="8">
        <f t="shared" si="11"/>
        <v>0</v>
      </c>
    </row>
    <row r="65" spans="1:167" x14ac:dyDescent="0.25">
      <c r="AB65">
        <v>2003</v>
      </c>
      <c r="AC65">
        <v>9</v>
      </c>
      <c r="AD65" s="8">
        <v>956.42114068567798</v>
      </c>
      <c r="AE65" s="8">
        <v>0</v>
      </c>
      <c r="AF65" s="8">
        <v>0</v>
      </c>
      <c r="AG65" s="11">
        <v>17.539000000000001</v>
      </c>
      <c r="AH65" s="11"/>
      <c r="AI65" s="11"/>
      <c r="BT65" s="56">
        <v>37681</v>
      </c>
      <c r="BU65" s="8">
        <v>4848.6418304443368</v>
      </c>
      <c r="BV65" s="8">
        <v>0</v>
      </c>
      <c r="BW65" s="8">
        <v>0</v>
      </c>
      <c r="DW65" s="56">
        <v>37712</v>
      </c>
      <c r="DX65">
        <v>121.77362936735153</v>
      </c>
      <c r="DY65">
        <v>0</v>
      </c>
      <c r="DZ65" s="8">
        <v>0</v>
      </c>
      <c r="FE65" s="56">
        <v>37712</v>
      </c>
      <c r="FF65" s="8" t="e">
        <f>DX65+#REF!+#REF!</f>
        <v>#REF!</v>
      </c>
      <c r="FG65" s="8" t="e">
        <f>#REF!+DY65+#REF!</f>
        <v>#REF!</v>
      </c>
      <c r="FH65" s="8">
        <f t="shared" si="11"/>
        <v>0</v>
      </c>
    </row>
    <row r="66" spans="1:167" x14ac:dyDescent="0.25">
      <c r="AB66">
        <v>2003</v>
      </c>
      <c r="AC66">
        <v>10</v>
      </c>
      <c r="AD66" s="8">
        <v>6732.897316634655</v>
      </c>
      <c r="AE66" s="8">
        <v>0</v>
      </c>
      <c r="AF66" s="8">
        <v>0</v>
      </c>
      <c r="AG66" s="11">
        <v>22.539000000000001</v>
      </c>
      <c r="AH66" s="11"/>
      <c r="AI66" s="11"/>
      <c r="BT66" s="56">
        <v>37712</v>
      </c>
      <c r="BU66" s="8">
        <v>169.91018295288092</v>
      </c>
      <c r="BV66" s="8">
        <v>0</v>
      </c>
      <c r="BW66" s="8">
        <v>0</v>
      </c>
      <c r="DW66" s="56">
        <v>37742</v>
      </c>
      <c r="DX66">
        <v>74.100666999816895</v>
      </c>
      <c r="DY66">
        <v>0</v>
      </c>
      <c r="DZ66" s="8">
        <v>0</v>
      </c>
      <c r="FE66" s="56">
        <v>37742</v>
      </c>
      <c r="FF66" s="8" t="e">
        <f>DX66+#REF!+#REF!</f>
        <v>#REF!</v>
      </c>
      <c r="FG66" s="8" t="e">
        <f>#REF!+DY66+#REF!</f>
        <v>#REF!</v>
      </c>
      <c r="FH66" s="8">
        <f t="shared" si="11"/>
        <v>0</v>
      </c>
    </row>
    <row r="67" spans="1:167" x14ac:dyDescent="0.25">
      <c r="AB67">
        <v>2003</v>
      </c>
      <c r="AC67">
        <v>11</v>
      </c>
      <c r="AD67" s="8">
        <v>19132.665948286656</v>
      </c>
      <c r="AE67" s="8">
        <v>26.515464782714851</v>
      </c>
      <c r="AF67" s="8">
        <v>0</v>
      </c>
      <c r="AG67" s="11">
        <v>25.539000000000001</v>
      </c>
      <c r="AH67" s="11"/>
      <c r="AI67" s="11"/>
      <c r="BT67" s="56">
        <v>37742</v>
      </c>
      <c r="BU67" s="8">
        <v>183.5721168518067</v>
      </c>
      <c r="BV67" s="8">
        <v>0</v>
      </c>
      <c r="BW67" s="8">
        <v>0</v>
      </c>
      <c r="DW67" s="56">
        <v>37773</v>
      </c>
      <c r="DX67">
        <v>0</v>
      </c>
      <c r="DY67">
        <v>0</v>
      </c>
      <c r="DZ67" s="8">
        <v>0</v>
      </c>
      <c r="FE67" s="56">
        <v>37773</v>
      </c>
      <c r="FF67" s="8" t="e">
        <f>DX67+#REF!+#REF!</f>
        <v>#REF!</v>
      </c>
      <c r="FG67" s="8" t="e">
        <f>#REF!+DY67+#REF!</f>
        <v>#REF!</v>
      </c>
      <c r="FH67" s="8">
        <f t="shared" ref="FH67:FH130" si="156">DZ67</f>
        <v>0</v>
      </c>
    </row>
    <row r="68" spans="1:167" ht="45.75" customHeight="1" x14ac:dyDescent="0.25">
      <c r="B68" s="37" t="s">
        <v>220</v>
      </c>
      <c r="C68" s="37" t="s">
        <v>221</v>
      </c>
      <c r="D68" s="37"/>
      <c r="E68" s="37"/>
      <c r="F68" s="37" t="s">
        <v>222</v>
      </c>
      <c r="G68" s="37" t="s">
        <v>223</v>
      </c>
      <c r="I68" s="37" t="s">
        <v>224</v>
      </c>
      <c r="AB68">
        <v>2003</v>
      </c>
      <c r="AC68">
        <v>12</v>
      </c>
      <c r="AD68" s="8">
        <v>30117.166490674022</v>
      </c>
      <c r="AE68" s="8">
        <v>0</v>
      </c>
      <c r="AF68" s="8">
        <v>0</v>
      </c>
      <c r="AG68" s="11">
        <v>26.539000000000001</v>
      </c>
      <c r="BT68" s="56">
        <v>37773</v>
      </c>
      <c r="BU68" s="8">
        <v>3.1208310127258301</v>
      </c>
      <c r="BV68" s="8">
        <v>0</v>
      </c>
      <c r="BW68" s="8">
        <v>0</v>
      </c>
      <c r="DW68" s="56">
        <v>37803</v>
      </c>
      <c r="DX68">
        <v>0</v>
      </c>
      <c r="DY68">
        <v>0</v>
      </c>
      <c r="DZ68" s="8">
        <v>56.932771563530011</v>
      </c>
      <c r="FE68" s="56">
        <v>37803</v>
      </c>
      <c r="FF68" s="8" t="e">
        <f>DX68+#REF!+#REF!</f>
        <v>#REF!</v>
      </c>
      <c r="FG68" s="8" t="e">
        <f>#REF!+DY68+#REF!</f>
        <v>#REF!</v>
      </c>
      <c r="FH68" s="8">
        <f t="shared" si="156"/>
        <v>56.932771563530011</v>
      </c>
    </row>
    <row r="69" spans="1:167" x14ac:dyDescent="0.25">
      <c r="A69" t="s">
        <v>176</v>
      </c>
      <c r="B69" s="8">
        <v>45000</v>
      </c>
      <c r="C69">
        <v>369000</v>
      </c>
      <c r="D69" s="20">
        <f t="shared" ref="D69:D85" si="157">C69/B69</f>
        <v>8.1999999999999993</v>
      </c>
      <c r="F69" s="8">
        <f>F107+E88</f>
        <v>46921.280487804877</v>
      </c>
      <c r="G69" s="8">
        <f>D88+E107</f>
        <v>384754.5</v>
      </c>
      <c r="I69" s="8">
        <f>B69-F69</f>
        <v>-1921.2804878048773</v>
      </c>
      <c r="AB69">
        <v>2004</v>
      </c>
      <c r="AC69">
        <v>1</v>
      </c>
      <c r="AD69" s="8">
        <v>12624.281111517921</v>
      </c>
      <c r="AE69" s="8">
        <v>0</v>
      </c>
      <c r="AF69" s="8">
        <v>0</v>
      </c>
      <c r="AG69" s="11">
        <v>28.539000000000001</v>
      </c>
      <c r="BT69" s="56">
        <v>37803</v>
      </c>
      <c r="BU69" s="8">
        <v>0</v>
      </c>
      <c r="BV69" s="8">
        <v>0</v>
      </c>
      <c r="BW69" s="8">
        <v>0</v>
      </c>
      <c r="CG69" t="s">
        <v>505</v>
      </c>
      <c r="CH69" t="s">
        <v>483</v>
      </c>
      <c r="CI69" t="s">
        <v>484</v>
      </c>
      <c r="CK69" t="s">
        <v>368</v>
      </c>
      <c r="CL69" t="s">
        <v>349</v>
      </c>
      <c r="DW69" s="56">
        <v>37834</v>
      </c>
      <c r="DX69">
        <v>133.75946044921881</v>
      </c>
      <c r="DY69">
        <v>3995.0437707900996</v>
      </c>
      <c r="DZ69" s="8">
        <v>75.938641548156781</v>
      </c>
      <c r="EF69" t="s">
        <v>43</v>
      </c>
      <c r="EG69" t="s">
        <v>507</v>
      </c>
      <c r="EH69" t="s">
        <v>508</v>
      </c>
      <c r="EI69" t="s">
        <v>509</v>
      </c>
      <c r="EJ69" t="s">
        <v>43</v>
      </c>
      <c r="EK69" t="s">
        <v>466</v>
      </c>
      <c r="EL69" t="s">
        <v>510</v>
      </c>
      <c r="FE69" s="56">
        <v>37834</v>
      </c>
      <c r="FF69" s="8" t="e">
        <f>DX69+#REF!+#REF!</f>
        <v>#REF!</v>
      </c>
      <c r="FG69" s="8" t="e">
        <f>#REF!+DY69+#REF!</f>
        <v>#REF!</v>
      </c>
      <c r="FH69" s="8">
        <f t="shared" si="156"/>
        <v>75.938641548156781</v>
      </c>
    </row>
    <row r="70" spans="1:167" x14ac:dyDescent="0.25">
      <c r="A70" t="s">
        <v>177</v>
      </c>
      <c r="B70" s="8">
        <v>48000</v>
      </c>
      <c r="C70">
        <v>326400</v>
      </c>
      <c r="D70" s="20">
        <f t="shared" si="157"/>
        <v>6.8</v>
      </c>
      <c r="F70" s="8">
        <f t="shared" ref="F70:F85" si="158">F108+E89</f>
        <v>40646.25</v>
      </c>
      <c r="G70" s="8">
        <f t="shared" ref="G70:G85" si="159">D89+E108</f>
        <v>276394.5</v>
      </c>
      <c r="I70" s="47">
        <f t="shared" ref="I70:I85" si="160">B70-F70</f>
        <v>7353.75</v>
      </c>
      <c r="AB70">
        <v>2004</v>
      </c>
      <c r="AC70">
        <v>2</v>
      </c>
      <c r="AD70" s="8">
        <v>2341.9236917495732</v>
      </c>
      <c r="AE70" s="8">
        <v>0</v>
      </c>
      <c r="AF70" s="8">
        <v>0</v>
      </c>
      <c r="AG70" s="11">
        <v>28.539000000000001</v>
      </c>
      <c r="BT70" s="56">
        <v>37834</v>
      </c>
      <c r="BU70" s="8">
        <v>32.479038238525398</v>
      </c>
      <c r="BV70" s="8">
        <v>7125.2685699462945</v>
      </c>
      <c r="BW70" s="8">
        <v>0</v>
      </c>
      <c r="CF70">
        <v>1999</v>
      </c>
      <c r="CG70" s="8">
        <f>CB2+CC2</f>
        <v>54372.629833221436</v>
      </c>
      <c r="CH70">
        <v>1</v>
      </c>
      <c r="CI70" s="8">
        <v>0</v>
      </c>
      <c r="CJ70">
        <v>1999</v>
      </c>
      <c r="CK70" s="8">
        <f t="shared" ref="CK70:CK83" si="161">CG2</f>
        <v>8590.5236684909705</v>
      </c>
      <c r="CL70" s="8">
        <f>($CI$85*CG70)+($CH$85*CH70)+($CG$85*CI70)</f>
        <v>7657.5771229544571</v>
      </c>
      <c r="DW70" s="56">
        <v>37865</v>
      </c>
      <c r="DX70">
        <v>1617.5575866699223</v>
      </c>
      <c r="DY70">
        <v>0</v>
      </c>
      <c r="DZ70" s="8">
        <v>118.52027893066408</v>
      </c>
      <c r="EF70" s="56">
        <v>36465</v>
      </c>
      <c r="EG70" s="8">
        <f>EH3+EI3</f>
        <v>47313.541646942496</v>
      </c>
      <c r="EH70">
        <v>1</v>
      </c>
      <c r="EI70">
        <v>0</v>
      </c>
      <c r="EJ70" s="56">
        <v>36465</v>
      </c>
      <c r="EK70" s="8">
        <f>ER25</f>
        <v>11134.459329623023</v>
      </c>
      <c r="EL70" s="8">
        <f>($EI$85*EG70)+($EH$85*EH70)+($EG$85*EI70)</f>
        <v>10595.132616828982</v>
      </c>
      <c r="FE70" s="56">
        <v>37865</v>
      </c>
      <c r="FF70" s="8" t="e">
        <f>DX70+#REF!+#REF!</f>
        <v>#REF!</v>
      </c>
      <c r="FG70" s="8" t="e">
        <f>#REF!+DY70+#REF!</f>
        <v>#REF!</v>
      </c>
      <c r="FH70" s="8">
        <f t="shared" si="156"/>
        <v>118.52027893066408</v>
      </c>
    </row>
    <row r="71" spans="1:167" x14ac:dyDescent="0.25">
      <c r="A71" t="s">
        <v>105</v>
      </c>
      <c r="B71" s="8">
        <v>53000</v>
      </c>
      <c r="C71" s="8">
        <v>318000</v>
      </c>
      <c r="D71" s="20">
        <f t="shared" si="157"/>
        <v>6</v>
      </c>
      <c r="F71" s="8">
        <f t="shared" si="158"/>
        <v>50171.5</v>
      </c>
      <c r="G71" s="8">
        <f t="shared" si="159"/>
        <v>301029</v>
      </c>
      <c r="H71" s="8"/>
      <c r="I71" s="8">
        <f t="shared" si="160"/>
        <v>2828.5</v>
      </c>
      <c r="AB71">
        <v>2004</v>
      </c>
      <c r="AC71">
        <v>3</v>
      </c>
      <c r="AD71" s="8">
        <v>1601.0129463672638</v>
      </c>
      <c r="AE71" s="8">
        <v>0</v>
      </c>
      <c r="AF71" s="8">
        <v>0</v>
      </c>
      <c r="AG71" s="11">
        <v>28.539000000000001</v>
      </c>
      <c r="AH71" s="11">
        <f>SUM(AD63:AD71)</f>
        <v>73533.116025285795</v>
      </c>
      <c r="AI71" s="11">
        <f>SUM(AE63:AE71)</f>
        <v>10424.644615411766</v>
      </c>
      <c r="BT71" s="56">
        <v>37865</v>
      </c>
      <c r="BU71" s="8">
        <v>253.2372741699217</v>
      </c>
      <c r="BV71" s="8">
        <v>0</v>
      </c>
      <c r="BW71" s="8">
        <v>0</v>
      </c>
      <c r="CF71">
        <v>2000</v>
      </c>
      <c r="CG71" s="8">
        <f t="shared" ref="CG71:CG83" si="162">CB3+CC3</f>
        <v>121733.22817897782</v>
      </c>
      <c r="CH71">
        <v>1</v>
      </c>
      <c r="CI71" s="8">
        <v>0</v>
      </c>
      <c r="CJ71">
        <v>2000</v>
      </c>
      <c r="CK71" s="8">
        <f t="shared" si="161"/>
        <v>9105.6343933990811</v>
      </c>
      <c r="CL71" s="8">
        <f t="shared" ref="CL71:CL83" si="163">($CI$85*CG71)+($CH$85*CH71)+($CG$85*CI71)</f>
        <v>8576.1209414390178</v>
      </c>
      <c r="DW71" s="56">
        <v>37895</v>
      </c>
      <c r="DX71">
        <v>3330.8007959127431</v>
      </c>
      <c r="DY71">
        <v>0</v>
      </c>
      <c r="DZ71" s="8">
        <v>476.89470481872456</v>
      </c>
      <c r="EF71" s="56">
        <v>36831</v>
      </c>
      <c r="EG71" s="8">
        <f t="shared" ref="EG71:EG83" si="164">EH4+EI4</f>
        <v>103095.75199389448</v>
      </c>
      <c r="EH71">
        <v>1</v>
      </c>
      <c r="EI71">
        <v>0</v>
      </c>
      <c r="EJ71" s="56">
        <v>36831</v>
      </c>
      <c r="EK71" s="8">
        <f t="shared" ref="EK71:EK83" si="165">ER26</f>
        <v>11889.101565949493</v>
      </c>
      <c r="EL71" s="8">
        <f t="shared" ref="EL71:EL83" si="166">($EI$85*EG71)+($EH$85*EH71)+($EG$85*EI71)</f>
        <v>11766.743090445621</v>
      </c>
      <c r="FE71" s="56">
        <v>37895</v>
      </c>
      <c r="FF71" s="8" t="e">
        <f>DX71+#REF!+#REF!</f>
        <v>#REF!</v>
      </c>
      <c r="FG71" s="8" t="e">
        <f>#REF!+DY71+#REF!</f>
        <v>#REF!</v>
      </c>
      <c r="FH71" s="8">
        <f t="shared" si="156"/>
        <v>476.89470481872456</v>
      </c>
    </row>
    <row r="72" spans="1:167" x14ac:dyDescent="0.25">
      <c r="A72" t="s">
        <v>106</v>
      </c>
      <c r="B72" s="8">
        <v>56000</v>
      </c>
      <c r="C72" s="8">
        <v>398878</v>
      </c>
      <c r="D72" s="20">
        <f t="shared" si="157"/>
        <v>7.1228214285714282</v>
      </c>
      <c r="F72" s="8">
        <f t="shared" si="158"/>
        <v>46538.861506525805</v>
      </c>
      <c r="G72" s="8">
        <f t="shared" si="159"/>
        <v>331488</v>
      </c>
      <c r="H72" s="8"/>
      <c r="I72" s="47">
        <f t="shared" si="160"/>
        <v>9461.1384934741945</v>
      </c>
      <c r="AB72">
        <v>2004</v>
      </c>
      <c r="AC72">
        <v>4</v>
      </c>
      <c r="AD72" s="8">
        <v>387.90340375900291</v>
      </c>
      <c r="AE72" s="8">
        <v>0</v>
      </c>
      <c r="AF72" s="8">
        <v>0</v>
      </c>
      <c r="AG72" s="11">
        <v>28.539000000000001</v>
      </c>
      <c r="BT72" s="56">
        <v>37895</v>
      </c>
      <c r="BU72" s="8">
        <v>1429.6254081726076</v>
      </c>
      <c r="BV72" s="8">
        <v>0</v>
      </c>
      <c r="BW72" s="8">
        <v>0</v>
      </c>
      <c r="CF72">
        <v>2001</v>
      </c>
      <c r="CG72" s="8">
        <f t="shared" si="162"/>
        <v>89038.719859600009</v>
      </c>
      <c r="CH72">
        <v>1</v>
      </c>
      <c r="CI72" s="8">
        <v>0</v>
      </c>
      <c r="CJ72">
        <v>2001</v>
      </c>
      <c r="CK72" s="8">
        <f t="shared" si="161"/>
        <v>8430.2953756949773</v>
      </c>
      <c r="CL72" s="8">
        <f t="shared" si="163"/>
        <v>8130.2914913945251</v>
      </c>
      <c r="DW72" s="56">
        <v>37926</v>
      </c>
      <c r="DX72">
        <v>7455.7180217802534</v>
      </c>
      <c r="DY72">
        <v>0</v>
      </c>
      <c r="DZ72" s="8">
        <v>608.63120555877697</v>
      </c>
      <c r="EA72" s="56">
        <f>DW72</f>
        <v>37926</v>
      </c>
      <c r="EB72" s="8">
        <f>SUM(DZ68:DZ76)</f>
        <v>3049.0358771085721</v>
      </c>
      <c r="EC72" s="8">
        <f>SUM(DX68:DX76)</f>
        <v>30686.627013891935</v>
      </c>
      <c r="ED72" s="8">
        <f>SUM(DY68:DY76)</f>
        <v>3995.0437707900996</v>
      </c>
      <c r="EF72" s="56">
        <v>37196</v>
      </c>
      <c r="EG72" s="8">
        <f t="shared" si="164"/>
        <v>52909.614352792501</v>
      </c>
      <c r="EH72">
        <v>1</v>
      </c>
      <c r="EI72">
        <v>0</v>
      </c>
      <c r="EJ72" s="56">
        <v>37196</v>
      </c>
      <c r="EK72" s="8">
        <f t="shared" si="165"/>
        <v>10050.983419889508</v>
      </c>
      <c r="EL72" s="8">
        <f t="shared" si="166"/>
        <v>10712.668608187421</v>
      </c>
      <c r="FE72" s="56">
        <v>37926</v>
      </c>
      <c r="FF72" s="8" t="e">
        <f>DX72+#REF!+#REF!</f>
        <v>#REF!</v>
      </c>
      <c r="FG72" s="8" t="e">
        <f>#REF!+DY72+#REF!</f>
        <v>#REF!</v>
      </c>
      <c r="FH72" s="8">
        <f t="shared" si="156"/>
        <v>608.63120555877697</v>
      </c>
      <c r="FI72" s="8" t="e">
        <f>SUM(FF68:FF76)</f>
        <v>#REF!</v>
      </c>
      <c r="FJ72" s="8" t="e">
        <f>SUM(FG68:FG76)</f>
        <v>#REF!</v>
      </c>
      <c r="FK72" s="8">
        <f>SUM(FH68:FH76)</f>
        <v>3049.0358771085721</v>
      </c>
    </row>
    <row r="73" spans="1:167" x14ac:dyDescent="0.25">
      <c r="A73" t="s">
        <v>107</v>
      </c>
      <c r="B73" s="8">
        <v>53000</v>
      </c>
      <c r="C73" s="8">
        <v>434600</v>
      </c>
      <c r="D73" s="20">
        <f t="shared" si="157"/>
        <v>8.1999999999999993</v>
      </c>
      <c r="F73" s="8">
        <f t="shared" si="158"/>
        <v>50950.060975609762</v>
      </c>
      <c r="G73" s="8">
        <f t="shared" si="159"/>
        <v>417790.5</v>
      </c>
      <c r="H73" s="8"/>
      <c r="I73" s="8">
        <f t="shared" si="160"/>
        <v>2049.939024390238</v>
      </c>
      <c r="AB73">
        <v>2004</v>
      </c>
      <c r="AC73">
        <v>5</v>
      </c>
      <c r="AD73" s="8">
        <v>12.847859621047991</v>
      </c>
      <c r="AE73" s="8">
        <v>28.9303588867188</v>
      </c>
      <c r="AF73" s="8">
        <v>0</v>
      </c>
      <c r="AG73" s="11">
        <v>28.539000000000001</v>
      </c>
      <c r="BT73" s="56">
        <v>37926</v>
      </c>
      <c r="BU73" s="8">
        <v>5340.3699188232422</v>
      </c>
      <c r="BV73" s="8">
        <v>0</v>
      </c>
      <c r="BW73" s="8">
        <v>0</v>
      </c>
      <c r="BX73" s="8">
        <f>SUM(BW69:BW77)</f>
        <v>0</v>
      </c>
      <c r="BY73" s="8">
        <f>SUM(BU69:BU77)</f>
        <v>43449.852232217781</v>
      </c>
      <c r="BZ73" s="8">
        <f>SUM(BV61:BV72)</f>
        <v>7186.8127079010064</v>
      </c>
      <c r="CF73">
        <v>2002</v>
      </c>
      <c r="CG73" s="8">
        <f t="shared" si="162"/>
        <v>47967.668753385537</v>
      </c>
      <c r="CH73">
        <v>1</v>
      </c>
      <c r="CI73" s="8">
        <v>0</v>
      </c>
      <c r="CJ73">
        <v>2002</v>
      </c>
      <c r="CK73" s="8">
        <f t="shared" si="161"/>
        <v>5807.7737941810401</v>
      </c>
      <c r="CL73" s="8">
        <f t="shared" si="163"/>
        <v>7570.2376759780618</v>
      </c>
      <c r="DW73" s="56">
        <v>37956</v>
      </c>
      <c r="DX73">
        <v>13652.550101816654</v>
      </c>
      <c r="DY73">
        <v>0</v>
      </c>
      <c r="DZ73" s="8">
        <v>1160.7822723388667</v>
      </c>
      <c r="EF73" s="56">
        <v>37561</v>
      </c>
      <c r="EG73" s="8">
        <f t="shared" si="164"/>
        <v>20855.422476694006</v>
      </c>
      <c r="EH73">
        <v>0</v>
      </c>
      <c r="EI73">
        <v>0</v>
      </c>
      <c r="EJ73" s="56">
        <v>37561</v>
      </c>
      <c r="EK73" s="8">
        <f t="shared" si="165"/>
        <v>2110.1590801762873</v>
      </c>
      <c r="EL73" s="8">
        <f t="shared" si="166"/>
        <v>438.03268557158771</v>
      </c>
      <c r="FE73" s="56">
        <v>37956</v>
      </c>
      <c r="FF73" s="8" t="e">
        <f>DX73+#REF!+#REF!</f>
        <v>#REF!</v>
      </c>
      <c r="FG73" s="8" t="e">
        <f>#REF!+DY73+#REF!</f>
        <v>#REF!</v>
      </c>
      <c r="FH73" s="8">
        <f t="shared" si="156"/>
        <v>1160.7822723388667</v>
      </c>
    </row>
    <row r="74" spans="1:167" x14ac:dyDescent="0.25">
      <c r="A74" t="s">
        <v>108</v>
      </c>
      <c r="B74" s="8">
        <v>30000</v>
      </c>
      <c r="C74" s="8">
        <v>234000</v>
      </c>
      <c r="D74" s="20">
        <f t="shared" si="157"/>
        <v>7.8</v>
      </c>
      <c r="F74" s="8">
        <f t="shared" si="158"/>
        <v>27491.153846153848</v>
      </c>
      <c r="G74" s="8">
        <f t="shared" si="159"/>
        <v>214431</v>
      </c>
      <c r="H74" s="8"/>
      <c r="I74" s="8">
        <f t="shared" si="160"/>
        <v>2508.8461538461524</v>
      </c>
      <c r="AB74">
        <v>2004</v>
      </c>
      <c r="AC74">
        <v>6</v>
      </c>
      <c r="AD74" s="8">
        <v>0</v>
      </c>
      <c r="AE74" s="8">
        <v>85.158878326416001</v>
      </c>
      <c r="AF74" s="8">
        <v>0</v>
      </c>
      <c r="AG74" s="11">
        <v>28.539000000000001</v>
      </c>
      <c r="BT74" s="56">
        <v>37956</v>
      </c>
      <c r="BU74" s="8">
        <v>13368.351576089859</v>
      </c>
      <c r="BV74" s="8">
        <v>0</v>
      </c>
      <c r="BW74" s="8">
        <v>0</v>
      </c>
      <c r="CF74">
        <v>2003</v>
      </c>
      <c r="CG74" s="8">
        <f t="shared" si="162"/>
        <v>50636.66494011879</v>
      </c>
      <c r="CH74">
        <v>0</v>
      </c>
      <c r="CI74" s="8">
        <v>0</v>
      </c>
      <c r="CJ74">
        <v>2003</v>
      </c>
      <c r="CK74" s="8">
        <f t="shared" si="161"/>
        <v>3043.2507632939432</v>
      </c>
      <c r="CL74" s="8">
        <f t="shared" si="163"/>
        <v>690.4926130655457</v>
      </c>
      <c r="DW74" s="56">
        <v>37987</v>
      </c>
      <c r="DX74">
        <v>3452.6489591598515</v>
      </c>
      <c r="DY74">
        <v>0</v>
      </c>
      <c r="DZ74" s="8">
        <v>551.33600234985295</v>
      </c>
      <c r="EF74" s="56">
        <v>37926</v>
      </c>
      <c r="EG74" s="8">
        <f t="shared" si="164"/>
        <v>34681.670784682035</v>
      </c>
      <c r="EH74">
        <v>0</v>
      </c>
      <c r="EI74">
        <v>0</v>
      </c>
      <c r="EJ74" s="56">
        <v>37926</v>
      </c>
      <c r="EK74" s="8">
        <f t="shared" si="165"/>
        <v>471.33544747643202</v>
      </c>
      <c r="EL74" s="8">
        <f t="shared" si="166"/>
        <v>728.42952047126926</v>
      </c>
      <c r="FE74" s="56">
        <v>37987</v>
      </c>
      <c r="FF74" s="8" t="e">
        <f>DX74+#REF!+#REF!</f>
        <v>#REF!</v>
      </c>
      <c r="FG74" s="8" t="e">
        <f>#REF!+DY74+#REF!</f>
        <v>#REF!</v>
      </c>
      <c r="FH74" s="8">
        <f t="shared" si="156"/>
        <v>551.33600234985295</v>
      </c>
    </row>
    <row r="75" spans="1:167" x14ac:dyDescent="0.25">
      <c r="A75" t="s">
        <v>109</v>
      </c>
      <c r="B75" s="8">
        <v>16000</v>
      </c>
      <c r="C75" s="8">
        <v>143500</v>
      </c>
      <c r="D75" s="20">
        <f t="shared" si="157"/>
        <v>8.96875</v>
      </c>
      <c r="F75" s="8">
        <f t="shared" si="158"/>
        <v>14055.470383275262</v>
      </c>
      <c r="G75" s="8">
        <f t="shared" si="159"/>
        <v>126060</v>
      </c>
      <c r="H75" s="8"/>
      <c r="I75" s="8">
        <f t="shared" si="160"/>
        <v>1944.5296167247379</v>
      </c>
      <c r="AB75">
        <v>2004</v>
      </c>
      <c r="AC75">
        <v>7</v>
      </c>
      <c r="AD75" s="8">
        <v>4.8899273872375497</v>
      </c>
      <c r="AE75" s="8">
        <v>0</v>
      </c>
      <c r="AF75" s="8">
        <v>0</v>
      </c>
      <c r="AG75" s="11">
        <v>3.581</v>
      </c>
      <c r="BT75" s="56">
        <v>37987</v>
      </c>
      <c r="BU75" s="8">
        <v>14394.47219848633</v>
      </c>
      <c r="BV75" s="8">
        <v>0</v>
      </c>
      <c r="BW75" s="8">
        <v>0</v>
      </c>
      <c r="CF75">
        <v>2004</v>
      </c>
      <c r="CG75" s="8">
        <f t="shared" si="162"/>
        <v>44652.66287827491</v>
      </c>
      <c r="CH75">
        <v>0</v>
      </c>
      <c r="CI75" s="8">
        <v>0</v>
      </c>
      <c r="CJ75">
        <v>2004</v>
      </c>
      <c r="CK75" s="8">
        <f t="shared" si="161"/>
        <v>0</v>
      </c>
      <c r="CL75" s="8">
        <f t="shared" si="163"/>
        <v>608.8934551202417</v>
      </c>
      <c r="DW75" s="56">
        <v>38018</v>
      </c>
      <c r="DX75">
        <v>753.01681184768677</v>
      </c>
      <c r="DY75">
        <v>0</v>
      </c>
      <c r="DZ75" s="8">
        <v>0</v>
      </c>
      <c r="EF75" s="56">
        <v>38292</v>
      </c>
      <c r="EG75" s="8">
        <f t="shared" si="164"/>
        <v>28982.243415296074</v>
      </c>
      <c r="EH75">
        <v>0</v>
      </c>
      <c r="EI75">
        <v>0</v>
      </c>
      <c r="EJ75" s="56">
        <v>38292</v>
      </c>
      <c r="EK75" s="8">
        <f t="shared" si="165"/>
        <v>0</v>
      </c>
      <c r="EL75" s="8">
        <f t="shared" si="166"/>
        <v>608.72274015443668</v>
      </c>
      <c r="FE75" s="56">
        <v>38018</v>
      </c>
      <c r="FF75" s="8" t="e">
        <f>DX75+#REF!+#REF!</f>
        <v>#REF!</v>
      </c>
      <c r="FG75" s="8" t="e">
        <f>#REF!+DY75+#REF!</f>
        <v>#REF!</v>
      </c>
      <c r="FH75" s="8">
        <f t="shared" si="156"/>
        <v>0</v>
      </c>
    </row>
    <row r="76" spans="1:167" x14ac:dyDescent="0.25">
      <c r="A76" t="s">
        <v>110</v>
      </c>
      <c r="B76" s="8">
        <v>7000</v>
      </c>
      <c r="C76" s="8">
        <v>64000</v>
      </c>
      <c r="D76" s="20">
        <f t="shared" si="157"/>
        <v>9.1428571428571423</v>
      </c>
      <c r="F76" s="8">
        <f t="shared" si="158"/>
        <v>6432.5625</v>
      </c>
      <c r="G76" s="8">
        <f t="shared" si="159"/>
        <v>58812</v>
      </c>
      <c r="H76" s="8"/>
      <c r="I76" s="8">
        <f t="shared" si="160"/>
        <v>567.4375</v>
      </c>
      <c r="AB76">
        <v>2004</v>
      </c>
      <c r="AC76">
        <v>8</v>
      </c>
      <c r="AD76" s="8">
        <v>1139.9400006979704</v>
      </c>
      <c r="AE76" s="8">
        <v>0</v>
      </c>
      <c r="AF76" s="8">
        <v>0</v>
      </c>
      <c r="AG76" s="11">
        <v>6.5810000000000004</v>
      </c>
      <c r="BT76" s="56">
        <v>38018</v>
      </c>
      <c r="BU76" s="8">
        <v>5407.8049240112232</v>
      </c>
      <c r="BV76" s="8">
        <v>0</v>
      </c>
      <c r="BW76" s="8">
        <v>0</v>
      </c>
      <c r="CF76">
        <v>2005</v>
      </c>
      <c r="CG76" s="8">
        <f t="shared" si="162"/>
        <v>75450.952739715591</v>
      </c>
      <c r="CH76">
        <v>0</v>
      </c>
      <c r="CI76" s="8">
        <v>0</v>
      </c>
      <c r="CJ76">
        <v>2005</v>
      </c>
      <c r="CK76" s="8">
        <f t="shared" si="161"/>
        <v>1837.5732287414171</v>
      </c>
      <c r="CL76" s="8">
        <f t="shared" si="163"/>
        <v>1028.8656564791725</v>
      </c>
      <c r="DW76" s="56">
        <v>38047</v>
      </c>
      <c r="DX76">
        <v>290.57527625560851</v>
      </c>
      <c r="DY76">
        <v>0</v>
      </c>
      <c r="DZ76" s="8">
        <v>0</v>
      </c>
      <c r="EF76" s="56">
        <v>38657</v>
      </c>
      <c r="EG76" s="8">
        <f t="shared" si="164"/>
        <v>77425.551112890258</v>
      </c>
      <c r="EH76">
        <v>0</v>
      </c>
      <c r="EI76">
        <v>0</v>
      </c>
      <c r="EJ76" s="56">
        <v>38657</v>
      </c>
      <c r="EK76" s="8">
        <f t="shared" si="165"/>
        <v>1281.525880828053</v>
      </c>
      <c r="EL76" s="8">
        <f t="shared" si="166"/>
        <v>1626.1920430401049</v>
      </c>
      <c r="FE76" s="56">
        <v>38047</v>
      </c>
      <c r="FF76" s="8" t="e">
        <f>DX76+#REF!+#REF!</f>
        <v>#REF!</v>
      </c>
      <c r="FG76" s="8" t="e">
        <f>#REF!+DY76+#REF!</f>
        <v>#REF!</v>
      </c>
      <c r="FH76" s="8">
        <f t="shared" si="156"/>
        <v>0</v>
      </c>
    </row>
    <row r="77" spans="1:167" x14ac:dyDescent="0.25">
      <c r="A77" t="s">
        <v>111</v>
      </c>
      <c r="B77" s="8">
        <v>16000</v>
      </c>
      <c r="C77" s="8">
        <v>156000</v>
      </c>
      <c r="D77" s="20">
        <f t="shared" si="157"/>
        <v>9.75</v>
      </c>
      <c r="F77" s="8">
        <f t="shared" si="158"/>
        <v>16821.846153846156</v>
      </c>
      <c r="G77" s="8">
        <f t="shared" si="159"/>
        <v>164013</v>
      </c>
      <c r="H77" s="8"/>
      <c r="I77" s="8">
        <f t="shared" si="160"/>
        <v>-821.84615384615608</v>
      </c>
      <c r="AB77">
        <v>2004</v>
      </c>
      <c r="AC77">
        <v>9</v>
      </c>
      <c r="AD77" s="8">
        <v>1550.5598155558107</v>
      </c>
      <c r="AE77" s="8">
        <v>0</v>
      </c>
      <c r="AF77" s="8">
        <v>0</v>
      </c>
      <c r="AG77" s="11">
        <v>6.5810000000000004</v>
      </c>
      <c r="AH77" s="11"/>
      <c r="AI77" s="11"/>
      <c r="BT77" s="56">
        <v>38047</v>
      </c>
      <c r="BU77" s="8">
        <v>3223.5118942260769</v>
      </c>
      <c r="BV77" s="8">
        <v>0</v>
      </c>
      <c r="BW77" s="8">
        <v>0</v>
      </c>
      <c r="CF77">
        <v>2006</v>
      </c>
      <c r="CG77" s="8">
        <f t="shared" si="162"/>
        <v>121710.6264810563</v>
      </c>
      <c r="CH77">
        <v>0</v>
      </c>
      <c r="CI77" s="8">
        <v>0</v>
      </c>
      <c r="CJ77">
        <v>2006</v>
      </c>
      <c r="CK77" s="8">
        <f t="shared" si="161"/>
        <v>1845.7767948807088</v>
      </c>
      <c r="CL77" s="8">
        <f t="shared" si="163"/>
        <v>1659.6726624103776</v>
      </c>
      <c r="DW77" s="56">
        <v>38078</v>
      </c>
      <c r="DX77">
        <v>109.20920318365097</v>
      </c>
      <c r="DY77">
        <v>0</v>
      </c>
      <c r="DZ77" s="8">
        <v>0</v>
      </c>
      <c r="EF77" s="56">
        <v>39022</v>
      </c>
      <c r="EG77" s="8">
        <f t="shared" si="164"/>
        <v>82613.415639415383</v>
      </c>
      <c r="EH77">
        <v>0</v>
      </c>
      <c r="EI77">
        <v>0</v>
      </c>
      <c r="EJ77" s="56">
        <v>39022</v>
      </c>
      <c r="EK77" s="8">
        <f t="shared" si="165"/>
        <v>732.21358934387376</v>
      </c>
      <c r="EL77" s="8">
        <f t="shared" si="166"/>
        <v>1735.1543157284118</v>
      </c>
      <c r="FE77" s="56">
        <v>38078</v>
      </c>
      <c r="FF77" s="8" t="e">
        <f>DX77+#REF!+#REF!</f>
        <v>#REF!</v>
      </c>
      <c r="FG77" s="8" t="e">
        <f>#REF!+DY77+#REF!</f>
        <v>#REF!</v>
      </c>
      <c r="FH77" s="8">
        <f t="shared" si="156"/>
        <v>0</v>
      </c>
    </row>
    <row r="78" spans="1:167" x14ac:dyDescent="0.25">
      <c r="A78" t="s">
        <v>112</v>
      </c>
      <c r="B78" s="8">
        <v>13900</v>
      </c>
      <c r="C78" s="8">
        <v>135000</v>
      </c>
      <c r="D78" s="20">
        <f t="shared" si="157"/>
        <v>9.7122302158273381</v>
      </c>
      <c r="F78" s="8">
        <f t="shared" si="158"/>
        <v>11702.101111111111</v>
      </c>
      <c r="G78" s="8">
        <f t="shared" si="159"/>
        <v>113653.5</v>
      </c>
      <c r="H78" s="8"/>
      <c r="I78" s="8">
        <f t="shared" si="160"/>
        <v>2197.8988888888889</v>
      </c>
      <c r="AB78">
        <v>2004</v>
      </c>
      <c r="AC78">
        <v>10</v>
      </c>
      <c r="AD78" s="8">
        <v>5498.8037140443912</v>
      </c>
      <c r="AE78" s="8">
        <v>0</v>
      </c>
      <c r="AF78" s="8">
        <v>0</v>
      </c>
      <c r="AG78" s="11">
        <v>6.5811000000000002</v>
      </c>
      <c r="AH78" s="11"/>
      <c r="AI78" s="11"/>
      <c r="BT78" s="56">
        <v>38078</v>
      </c>
      <c r="BU78" s="8">
        <v>0</v>
      </c>
      <c r="BV78" s="8">
        <v>0</v>
      </c>
      <c r="BW78" s="8">
        <v>0</v>
      </c>
      <c r="CF78">
        <v>2007</v>
      </c>
      <c r="CG78" s="8">
        <f t="shared" si="162"/>
        <v>45702.87806892395</v>
      </c>
      <c r="CH78">
        <v>0</v>
      </c>
      <c r="CI78" s="8">
        <v>0</v>
      </c>
      <c r="CJ78">
        <v>2007</v>
      </c>
      <c r="CK78" s="8">
        <f t="shared" si="161"/>
        <v>0</v>
      </c>
      <c r="CL78" s="8">
        <f t="shared" si="163"/>
        <v>623.21441863807888</v>
      </c>
      <c r="DW78" s="56">
        <v>38108</v>
      </c>
      <c r="DX78">
        <v>34.507874187082137</v>
      </c>
      <c r="DY78">
        <v>0</v>
      </c>
      <c r="DZ78" s="8">
        <v>0</v>
      </c>
      <c r="EF78" s="56">
        <v>39387</v>
      </c>
      <c r="EG78" s="8">
        <f t="shared" si="164"/>
        <v>23854.011498922493</v>
      </c>
      <c r="EH78">
        <v>0</v>
      </c>
      <c r="EI78">
        <v>0</v>
      </c>
      <c r="EJ78" s="56">
        <v>39387</v>
      </c>
      <c r="EK78" s="8">
        <f t="shared" si="165"/>
        <v>0</v>
      </c>
      <c r="EL78" s="8">
        <f t="shared" si="166"/>
        <v>501.01294904023922</v>
      </c>
      <c r="FE78" s="56">
        <v>38108</v>
      </c>
      <c r="FF78" s="8" t="e">
        <f>DX78+#REF!+#REF!</f>
        <v>#REF!</v>
      </c>
      <c r="FG78" s="8" t="e">
        <f>#REF!+DY78+#REF!</f>
        <v>#REF!</v>
      </c>
      <c r="FH78" s="8">
        <f t="shared" si="156"/>
        <v>0</v>
      </c>
    </row>
    <row r="79" spans="1:167" x14ac:dyDescent="0.25">
      <c r="A79" t="s">
        <v>113</v>
      </c>
      <c r="B79" s="8">
        <v>3210</v>
      </c>
      <c r="C79" s="8">
        <v>30500</v>
      </c>
      <c r="D79" s="20">
        <f t="shared" si="157"/>
        <v>9.5015576323987538</v>
      </c>
      <c r="F79" s="8">
        <f t="shared" si="158"/>
        <v>3813.1642622950822</v>
      </c>
      <c r="G79" s="8">
        <f t="shared" si="159"/>
        <v>36231</v>
      </c>
      <c r="H79" s="8"/>
      <c r="I79" s="8">
        <f t="shared" si="160"/>
        <v>-603.16426229508215</v>
      </c>
      <c r="AB79">
        <v>2004</v>
      </c>
      <c r="AC79">
        <v>11</v>
      </c>
      <c r="AD79" s="8">
        <v>21581.460946887728</v>
      </c>
      <c r="AE79" s="8">
        <v>375.83313679695124</v>
      </c>
      <c r="AF79" s="8">
        <v>0</v>
      </c>
      <c r="AG79" s="11">
        <v>7.5810000000000004</v>
      </c>
      <c r="AH79" s="11"/>
      <c r="AI79" s="11"/>
      <c r="BT79" s="56">
        <v>38108</v>
      </c>
      <c r="BU79" s="8">
        <v>0</v>
      </c>
      <c r="BV79" s="8">
        <v>0</v>
      </c>
      <c r="BW79" s="8">
        <v>0</v>
      </c>
      <c r="CF79">
        <v>2008</v>
      </c>
      <c r="CG79" s="8">
        <f t="shared" si="162"/>
        <v>40068.557129144661</v>
      </c>
      <c r="CH79">
        <v>0</v>
      </c>
      <c r="CI79" s="8">
        <v>0</v>
      </c>
      <c r="CJ79">
        <v>2008</v>
      </c>
      <c r="CK79" s="8">
        <f t="shared" si="161"/>
        <v>0</v>
      </c>
      <c r="CL79" s="8">
        <f t="shared" si="163"/>
        <v>546.38358878072461</v>
      </c>
      <c r="DW79" s="56">
        <v>38139</v>
      </c>
      <c r="DX79">
        <v>0</v>
      </c>
      <c r="DY79">
        <v>0</v>
      </c>
      <c r="DZ79" s="8">
        <v>0</v>
      </c>
      <c r="EF79" s="56">
        <v>39753</v>
      </c>
      <c r="EG79" s="8">
        <f t="shared" si="164"/>
        <v>26209.866728700701</v>
      </c>
      <c r="EH79">
        <v>0</v>
      </c>
      <c r="EI79">
        <v>0</v>
      </c>
      <c r="EJ79" s="56">
        <v>39753</v>
      </c>
      <c r="EK79" s="8">
        <f t="shared" si="165"/>
        <v>0</v>
      </c>
      <c r="EL79" s="8">
        <f t="shared" si="166"/>
        <v>550.49368213355422</v>
      </c>
      <c r="FE79" s="56">
        <v>38139</v>
      </c>
      <c r="FF79" s="8" t="e">
        <f>DX79+#REF!+#REF!</f>
        <v>#REF!</v>
      </c>
      <c r="FG79" s="8" t="e">
        <f>#REF!+DY79+#REF!</f>
        <v>#REF!</v>
      </c>
      <c r="FH79" s="8">
        <f t="shared" si="156"/>
        <v>0</v>
      </c>
    </row>
    <row r="80" spans="1:167" x14ac:dyDescent="0.25">
      <c r="A80" t="s">
        <v>114</v>
      </c>
      <c r="B80" s="8">
        <v>4150</v>
      </c>
      <c r="C80" s="8">
        <v>37500</v>
      </c>
      <c r="D80" s="20">
        <f t="shared" si="157"/>
        <v>9.0361445783132535</v>
      </c>
      <c r="F80" s="8">
        <f t="shared" si="158"/>
        <v>4899.6559999999999</v>
      </c>
      <c r="G80" s="8">
        <f t="shared" si="159"/>
        <v>44274</v>
      </c>
      <c r="H80" s="8"/>
      <c r="I80" s="8">
        <f t="shared" si="160"/>
        <v>-749.65599999999995</v>
      </c>
      <c r="AB80">
        <v>2004</v>
      </c>
      <c r="AC80">
        <v>12</v>
      </c>
      <c r="AD80" s="8">
        <v>19306.282784156516</v>
      </c>
      <c r="AE80" s="8">
        <v>1207.4650491476057</v>
      </c>
      <c r="AF80" s="8">
        <v>0</v>
      </c>
      <c r="AG80" s="11">
        <v>16.581</v>
      </c>
      <c r="BT80" s="56">
        <v>38139</v>
      </c>
      <c r="BU80" s="8">
        <v>0</v>
      </c>
      <c r="BV80" s="8">
        <v>0</v>
      </c>
      <c r="BW80" s="8">
        <v>0</v>
      </c>
      <c r="CF80">
        <v>2009</v>
      </c>
      <c r="CG80" s="8">
        <f t="shared" si="162"/>
        <v>8275.537880897522</v>
      </c>
      <c r="CH80">
        <v>0</v>
      </c>
      <c r="CI80" s="8">
        <v>0</v>
      </c>
      <c r="CJ80">
        <v>2009</v>
      </c>
      <c r="CK80" s="8">
        <f t="shared" si="161"/>
        <v>0</v>
      </c>
      <c r="CL80" s="8">
        <f t="shared" si="163"/>
        <v>112.84704043327609</v>
      </c>
      <c r="DW80" s="56">
        <v>38169</v>
      </c>
      <c r="DX80">
        <v>37.47798252105715</v>
      </c>
      <c r="DY80">
        <v>0</v>
      </c>
      <c r="DZ80" s="8">
        <v>56.932771563530011</v>
      </c>
      <c r="EF80" s="56">
        <v>40118</v>
      </c>
      <c r="EG80" s="8">
        <f t="shared" si="164"/>
        <v>12096.613021820789</v>
      </c>
      <c r="EH80">
        <v>0</v>
      </c>
      <c r="EI80">
        <v>0</v>
      </c>
      <c r="EJ80" s="56">
        <v>40118</v>
      </c>
      <c r="EK80" s="8">
        <f t="shared" si="165"/>
        <v>0</v>
      </c>
      <c r="EL80" s="8">
        <f t="shared" si="166"/>
        <v>254.06878686776665</v>
      </c>
      <c r="FE80" s="56">
        <v>38169</v>
      </c>
      <c r="FF80" s="8" t="e">
        <f>DX80+#REF!+#REF!</f>
        <v>#REF!</v>
      </c>
      <c r="FG80" s="8" t="e">
        <f>#REF!+DY80+#REF!</f>
        <v>#REF!</v>
      </c>
      <c r="FH80" s="8">
        <f t="shared" si="156"/>
        <v>56.932771563530011</v>
      </c>
    </row>
    <row r="81" spans="1:167" x14ac:dyDescent="0.25">
      <c r="A81" t="s">
        <v>115</v>
      </c>
      <c r="B81" s="8">
        <v>6200</v>
      </c>
      <c r="C81" s="8">
        <v>60450</v>
      </c>
      <c r="D81" s="20">
        <f t="shared" si="157"/>
        <v>9.75</v>
      </c>
      <c r="F81" s="8">
        <f t="shared" si="158"/>
        <v>5862.3076923076924</v>
      </c>
      <c r="G81" s="8">
        <f t="shared" si="159"/>
        <v>57157.5</v>
      </c>
      <c r="H81" s="8"/>
      <c r="I81" s="8">
        <f t="shared" si="160"/>
        <v>337.69230769230762</v>
      </c>
      <c r="AB81">
        <v>2005</v>
      </c>
      <c r="AC81">
        <v>1</v>
      </c>
      <c r="AD81" s="8">
        <v>12233.467320352791</v>
      </c>
      <c r="AE81" s="8">
        <v>0</v>
      </c>
      <c r="AF81" s="8">
        <v>0</v>
      </c>
      <c r="AG81" s="11">
        <v>25.581</v>
      </c>
      <c r="BT81" s="56">
        <v>38169</v>
      </c>
      <c r="BU81" s="8">
        <v>16.6605834960938</v>
      </c>
      <c r="BV81" s="8">
        <v>0</v>
      </c>
      <c r="BW81" s="8">
        <v>0</v>
      </c>
      <c r="CF81">
        <v>2010</v>
      </c>
      <c r="CG81" s="8">
        <f t="shared" si="162"/>
        <v>132141.79310858232</v>
      </c>
      <c r="CH81">
        <v>0</v>
      </c>
      <c r="CI81" s="8">
        <v>0</v>
      </c>
      <c r="CJ81">
        <v>2010</v>
      </c>
      <c r="CK81" s="8">
        <f t="shared" si="161"/>
        <v>1233.1897684172309</v>
      </c>
      <c r="CL81" s="8">
        <f t="shared" si="163"/>
        <v>1801.9143268343707</v>
      </c>
      <c r="DW81" s="56">
        <v>38200</v>
      </c>
      <c r="DX81">
        <v>1326.8931322097771</v>
      </c>
      <c r="DY81">
        <v>0</v>
      </c>
      <c r="DZ81" s="8">
        <v>75.938641548156781</v>
      </c>
      <c r="EF81" s="56">
        <v>40483</v>
      </c>
      <c r="EG81" s="8">
        <f t="shared" si="164"/>
        <v>114424.55259096621</v>
      </c>
      <c r="EH81">
        <v>0</v>
      </c>
      <c r="EI81">
        <v>0</v>
      </c>
      <c r="EJ81" s="56">
        <v>40483</v>
      </c>
      <c r="EK81" s="8">
        <f t="shared" si="165"/>
        <v>4376.3523203648565</v>
      </c>
      <c r="EL81" s="8">
        <f t="shared" si="166"/>
        <v>2403.2931542268893</v>
      </c>
      <c r="FE81" s="56">
        <v>38200</v>
      </c>
      <c r="FF81" s="8" t="e">
        <f>DX81+#REF!+#REF!</f>
        <v>#REF!</v>
      </c>
      <c r="FG81" s="8" t="e">
        <f>#REF!+DY81+#REF!</f>
        <v>#REF!</v>
      </c>
      <c r="FH81" s="8">
        <f t="shared" si="156"/>
        <v>75.938641548156781</v>
      </c>
    </row>
    <row r="82" spans="1:167" x14ac:dyDescent="0.25">
      <c r="A82" t="s">
        <v>116</v>
      </c>
      <c r="B82" s="8">
        <v>16800</v>
      </c>
      <c r="C82" s="8">
        <v>156240</v>
      </c>
      <c r="D82" s="20">
        <f t="shared" si="157"/>
        <v>9.3000000000000007</v>
      </c>
      <c r="F82" s="8">
        <f t="shared" si="158"/>
        <v>18745</v>
      </c>
      <c r="G82" s="8">
        <f t="shared" si="159"/>
        <v>174328.5</v>
      </c>
      <c r="H82" s="8"/>
      <c r="I82" s="8">
        <f t="shared" si="160"/>
        <v>-1945</v>
      </c>
      <c r="AB82">
        <v>2005</v>
      </c>
      <c r="AC82">
        <v>2</v>
      </c>
      <c r="AD82" s="8">
        <v>8145.4590940284561</v>
      </c>
      <c r="AE82" s="8">
        <v>2.8210701942443799</v>
      </c>
      <c r="AF82" s="8">
        <v>0</v>
      </c>
      <c r="AG82" s="11">
        <v>27.581</v>
      </c>
      <c r="BT82" s="56">
        <v>38200</v>
      </c>
      <c r="BU82" s="8">
        <v>731.70413589477528</v>
      </c>
      <c r="BV82" s="8">
        <v>0</v>
      </c>
      <c r="BW82" s="8">
        <v>0</v>
      </c>
      <c r="CF82">
        <v>2011</v>
      </c>
      <c r="CG82" s="8">
        <f t="shared" si="162"/>
        <v>71888.567722320498</v>
      </c>
      <c r="CH82">
        <v>0</v>
      </c>
      <c r="CI82" s="8">
        <v>1</v>
      </c>
      <c r="CJ82">
        <v>2011</v>
      </c>
      <c r="CK82" s="8">
        <f t="shared" si="161"/>
        <v>8503.4024183666224</v>
      </c>
      <c r="CL82" s="8">
        <f t="shared" si="163"/>
        <v>7296.6069550910988</v>
      </c>
      <c r="DW82" s="56">
        <v>38231</v>
      </c>
      <c r="DX82">
        <v>1765.2265128493307</v>
      </c>
      <c r="DY82">
        <v>0</v>
      </c>
      <c r="DZ82" s="8">
        <v>118.52027893066408</v>
      </c>
      <c r="EF82" s="56">
        <v>40848</v>
      </c>
      <c r="EG82" s="8">
        <f t="shared" si="164"/>
        <v>54207.687268614769</v>
      </c>
      <c r="EH82">
        <v>0</v>
      </c>
      <c r="EI82">
        <v>1</v>
      </c>
      <c r="EJ82" s="56">
        <v>40848</v>
      </c>
      <c r="EK82" s="8">
        <f t="shared" si="165"/>
        <v>8491.3079151253714</v>
      </c>
      <c r="EL82" s="8">
        <f t="shared" si="166"/>
        <v>7116.1734264866045</v>
      </c>
      <c r="FE82" s="56">
        <v>38231</v>
      </c>
      <c r="FF82" s="8" t="e">
        <f>DX82+#REF!+#REF!</f>
        <v>#REF!</v>
      </c>
      <c r="FG82" s="8" t="e">
        <f>#REF!+DY82+#REF!</f>
        <v>#REF!</v>
      </c>
      <c r="FH82" s="8">
        <f t="shared" si="156"/>
        <v>118.52027893066408</v>
      </c>
    </row>
    <row r="83" spans="1:167" x14ac:dyDescent="0.25">
      <c r="A83" t="s">
        <v>117</v>
      </c>
      <c r="B83" s="8">
        <v>42000</v>
      </c>
      <c r="C83" s="8">
        <v>462000</v>
      </c>
      <c r="D83" s="20">
        <f t="shared" si="157"/>
        <v>11</v>
      </c>
      <c r="F83" s="8">
        <f t="shared" si="158"/>
        <v>51312</v>
      </c>
      <c r="G83" s="8">
        <f t="shared" si="159"/>
        <v>564432</v>
      </c>
      <c r="H83" s="8"/>
      <c r="I83" s="47">
        <f t="shared" si="160"/>
        <v>-9312</v>
      </c>
      <c r="AB83">
        <v>2005</v>
      </c>
      <c r="AC83">
        <v>3</v>
      </c>
      <c r="AD83" s="8">
        <v>3723.1066523739146</v>
      </c>
      <c r="AE83" s="8">
        <v>3.1517938375473098</v>
      </c>
      <c r="AF83" s="8">
        <v>0</v>
      </c>
      <c r="AG83" s="11">
        <v>29.581</v>
      </c>
      <c r="AH83" s="11">
        <f>SUM(AD75:AD83)</f>
        <v>73183.970255484819</v>
      </c>
      <c r="AI83" s="11">
        <f>SUM(AE75:AE83)</f>
        <v>1589.2710499763486</v>
      </c>
      <c r="BT83" s="56">
        <v>38231</v>
      </c>
      <c r="BU83" s="8">
        <v>928.40103912353572</v>
      </c>
      <c r="BV83" s="8">
        <v>0</v>
      </c>
      <c r="BW83" s="8">
        <v>0</v>
      </c>
      <c r="CF83">
        <v>2012</v>
      </c>
      <c r="CG83" s="8">
        <f t="shared" si="162"/>
        <v>160147.83968162531</v>
      </c>
      <c r="CH83">
        <v>0</v>
      </c>
      <c r="CI83" s="8">
        <v>1</v>
      </c>
      <c r="CJ83">
        <v>2012</v>
      </c>
      <c r="CK83" s="8">
        <f t="shared" si="161"/>
        <v>7293.3341842067794</v>
      </c>
      <c r="CL83" s="8">
        <f t="shared" si="163"/>
        <v>8500.129647482303</v>
      </c>
      <c r="DW83" s="56">
        <v>38261</v>
      </c>
      <c r="DX83">
        <v>845.78767418861446</v>
      </c>
      <c r="DY83">
        <v>0</v>
      </c>
      <c r="DZ83" s="8">
        <v>580.91527748107762</v>
      </c>
      <c r="EF83" s="56">
        <v>41214</v>
      </c>
      <c r="EG83" s="8">
        <f t="shared" si="164"/>
        <v>125624.75051429862</v>
      </c>
      <c r="EH83">
        <v>0</v>
      </c>
      <c r="EI83">
        <v>1</v>
      </c>
      <c r="EJ83" s="56">
        <v>41214</v>
      </c>
      <c r="EK83" s="8">
        <f t="shared" si="165"/>
        <v>7241.0329103555487</v>
      </c>
      <c r="EL83" s="8">
        <f t="shared" si="166"/>
        <v>8616.1673989943138</v>
      </c>
      <c r="FE83" s="56">
        <v>38261</v>
      </c>
      <c r="FF83" s="8" t="e">
        <f>DX83+#REF!+#REF!</f>
        <v>#REF!</v>
      </c>
      <c r="FG83" s="8" t="e">
        <f>#REF!+DY83+#REF!</f>
        <v>#REF!</v>
      </c>
      <c r="FH83" s="8">
        <f t="shared" si="156"/>
        <v>580.91527748107762</v>
      </c>
    </row>
    <row r="84" spans="1:167" x14ac:dyDescent="0.25">
      <c r="A84" t="s">
        <v>118</v>
      </c>
      <c r="B84" s="8">
        <v>41000</v>
      </c>
      <c r="C84" s="8">
        <v>451000</v>
      </c>
      <c r="D84" s="20">
        <f t="shared" si="157"/>
        <v>11</v>
      </c>
      <c r="F84" s="8">
        <f t="shared" si="158"/>
        <v>51639.818181818184</v>
      </c>
      <c r="G84" s="8">
        <f t="shared" si="159"/>
        <v>568038</v>
      </c>
      <c r="H84" s="8"/>
      <c r="I84" s="47">
        <f t="shared" si="160"/>
        <v>-10639.818181818184</v>
      </c>
      <c r="AB84">
        <v>2005</v>
      </c>
      <c r="AC84">
        <v>4</v>
      </c>
      <c r="AD84" s="8">
        <v>201.24836584925654</v>
      </c>
      <c r="AE84" s="8">
        <v>0</v>
      </c>
      <c r="AF84" s="8">
        <v>0</v>
      </c>
      <c r="AG84" s="11">
        <v>30.581</v>
      </c>
      <c r="BT84" s="56">
        <v>38261</v>
      </c>
      <c r="BU84" s="8">
        <v>1760.074180603026</v>
      </c>
      <c r="BV84" s="8">
        <v>0</v>
      </c>
      <c r="BW84" s="8">
        <v>0</v>
      </c>
      <c r="CG84" s="23" t="s">
        <v>484</v>
      </c>
      <c r="CH84" s="23" t="s">
        <v>483</v>
      </c>
      <c r="CI84" s="23" t="s">
        <v>505</v>
      </c>
      <c r="DW84" s="56">
        <v>38292</v>
      </c>
      <c r="DX84">
        <v>9586.0702034831047</v>
      </c>
      <c r="DY84">
        <v>321.29226684570301</v>
      </c>
      <c r="DZ84" s="8">
        <v>476.95571881532675</v>
      </c>
      <c r="EA84" s="56">
        <f>DW84</f>
        <v>38292</v>
      </c>
      <c r="EB84" s="8">
        <f>SUM(DZ80:DZ88)</f>
        <v>3049.0337473750092</v>
      </c>
      <c r="EC84" s="8">
        <f>SUM(DX80:DX88)</f>
        <v>28183.002410352226</v>
      </c>
      <c r="ED84" s="8">
        <f>SUM(DY80:DY88)</f>
        <v>799.241004943848</v>
      </c>
      <c r="EG84" s="23" t="s">
        <v>512</v>
      </c>
      <c r="EH84" s="23" t="s">
        <v>511</v>
      </c>
      <c r="EI84" s="23" t="s">
        <v>252</v>
      </c>
      <c r="FE84" s="56">
        <v>38292</v>
      </c>
      <c r="FF84" s="8" t="e">
        <f>DX84+#REF!+#REF!</f>
        <v>#REF!</v>
      </c>
      <c r="FG84" s="8" t="e">
        <f>#REF!+DY84+#REF!</f>
        <v>#REF!</v>
      </c>
      <c r="FH84" s="8">
        <f t="shared" si="156"/>
        <v>476.95571881532675</v>
      </c>
      <c r="FI84" s="8" t="e">
        <f>SUM(FF80:FF88)</f>
        <v>#REF!</v>
      </c>
      <c r="FJ84" s="8" t="e">
        <f>SUM(FG80:FG88)</f>
        <v>#REF!</v>
      </c>
      <c r="FK84" s="8">
        <f>SUM(FH80:FH88)</f>
        <v>3049.0337473750092</v>
      </c>
    </row>
    <row r="85" spans="1:167" x14ac:dyDescent="0.25">
      <c r="A85" t="s">
        <v>124</v>
      </c>
      <c r="B85" s="8">
        <v>25800</v>
      </c>
      <c r="C85" s="8">
        <v>258000</v>
      </c>
      <c r="D85" s="20">
        <f t="shared" si="157"/>
        <v>10</v>
      </c>
      <c r="F85" s="8">
        <f t="shared" si="158"/>
        <v>29850</v>
      </c>
      <c r="G85" s="8">
        <f t="shared" si="159"/>
        <v>298500</v>
      </c>
      <c r="H85" s="8"/>
      <c r="I85" s="8">
        <f t="shared" si="160"/>
        <v>-4050</v>
      </c>
      <c r="AB85">
        <v>2005</v>
      </c>
      <c r="AC85">
        <v>5</v>
      </c>
      <c r="AD85" s="8">
        <v>23.548635296523589</v>
      </c>
      <c r="AE85" s="8">
        <v>6.1818752437829999E-2</v>
      </c>
      <c r="AF85" s="8">
        <v>0</v>
      </c>
      <c r="AG85" s="11">
        <v>30.581</v>
      </c>
      <c r="BT85" s="56">
        <v>38292</v>
      </c>
      <c r="BU85" s="8">
        <v>7752.0287077426919</v>
      </c>
      <c r="BV85" s="8">
        <v>763.46336364746105</v>
      </c>
      <c r="BW85" s="8">
        <v>0</v>
      </c>
      <c r="BX85" s="8">
        <f>SUM(BW81:BW89)</f>
        <v>0</v>
      </c>
      <c r="BY85" s="8">
        <f>SUM(BU81:BU89)</f>
        <v>44652.66287827491</v>
      </c>
      <c r="BZ85" s="8">
        <f>SUM(BV73:BV84)</f>
        <v>0</v>
      </c>
      <c r="CG85">
        <f t="array" ref="CG85:CI89">LINEST(CK70:CK83,CG70:CI83,0,1)</f>
        <v>6316.3187580934218</v>
      </c>
      <c r="CH85">
        <v>6916.1400773436362</v>
      </c>
      <c r="CI85">
        <v>1.3636218220178974E-2</v>
      </c>
      <c r="DW85" s="56">
        <v>38322</v>
      </c>
      <c r="DX85">
        <v>8121.4104977846155</v>
      </c>
      <c r="DY85">
        <v>477.94873809814499</v>
      </c>
      <c r="DZ85" s="8">
        <v>859.50646781921341</v>
      </c>
      <c r="EG85">
        <f t="array" ref="EG85:EI89">LINEST(EK70:EK83,EG70:EI83,0,1)</f>
        <v>5977.6331327365779</v>
      </c>
      <c r="EH85">
        <v>9601.3921287293761</v>
      </c>
      <c r="EI85">
        <v>2.1003299552482837E-2</v>
      </c>
      <c r="FE85" s="56">
        <v>38322</v>
      </c>
      <c r="FF85" s="8" t="e">
        <f>DX85+#REF!+#REF!</f>
        <v>#REF!</v>
      </c>
      <c r="FG85" s="8" t="e">
        <f>#REF!+DY85+#REF!</f>
        <v>#REF!</v>
      </c>
      <c r="FH85" s="8">
        <f t="shared" si="156"/>
        <v>859.50646781921341</v>
      </c>
    </row>
    <row r="86" spans="1:167" x14ac:dyDescent="0.25">
      <c r="AB86">
        <v>2005</v>
      </c>
      <c r="AC86">
        <v>6</v>
      </c>
      <c r="AD86" s="8">
        <v>6.6731321811676017</v>
      </c>
      <c r="AE86" s="8">
        <v>1.4017483834177253</v>
      </c>
      <c r="AF86" s="8">
        <v>0</v>
      </c>
      <c r="AG86" s="11">
        <v>30.581</v>
      </c>
      <c r="BT86" s="56">
        <v>38322</v>
      </c>
      <c r="BU86" s="8">
        <v>10562.2287940979</v>
      </c>
      <c r="BV86" s="8">
        <v>1008.56018447876</v>
      </c>
      <c r="BW86" s="8">
        <v>0</v>
      </c>
      <c r="CG86">
        <v>1007.6805769628568</v>
      </c>
      <c r="CH86">
        <v>701.80114463789869</v>
      </c>
      <c r="CI86">
        <v>5.0196747502662398E-3</v>
      </c>
      <c r="CK86" t="s">
        <v>545</v>
      </c>
      <c r="DW86" s="56">
        <v>38353</v>
      </c>
      <c r="DX86">
        <v>3195.1662096381187</v>
      </c>
      <c r="DY86">
        <v>0</v>
      </c>
      <c r="DZ86" s="8">
        <v>880.26459121704045</v>
      </c>
      <c r="EG86">
        <v>946.81236594450991</v>
      </c>
      <c r="EH86">
        <v>754.51415436534694</v>
      </c>
      <c r="EI86">
        <v>5.9643593640475402E-3</v>
      </c>
      <c r="EK86" t="s">
        <v>545</v>
      </c>
      <c r="FE86" s="56">
        <v>38353</v>
      </c>
      <c r="FF86" s="8" t="e">
        <f>DX86+#REF!+#REF!</f>
        <v>#REF!</v>
      </c>
      <c r="FG86" s="8" t="e">
        <f>#REF!+DY86+#REF!</f>
        <v>#REF!</v>
      </c>
      <c r="FH86" s="8">
        <f t="shared" si="156"/>
        <v>880.26459121704045</v>
      </c>
    </row>
    <row r="87" spans="1:167" x14ac:dyDescent="0.25">
      <c r="A87" t="s">
        <v>178</v>
      </c>
      <c r="B87" t="s">
        <v>179</v>
      </c>
      <c r="C87" t="s">
        <v>180</v>
      </c>
      <c r="D87" t="s">
        <v>96</v>
      </c>
      <c r="E87" t="s">
        <v>181</v>
      </c>
      <c r="AB87">
        <v>2005</v>
      </c>
      <c r="AC87">
        <v>7</v>
      </c>
      <c r="AD87" s="8">
        <v>724.12389898300194</v>
      </c>
      <c r="AE87" s="8">
        <v>257.48315811157181</v>
      </c>
      <c r="AF87" s="8">
        <v>0</v>
      </c>
      <c r="AG87" s="11">
        <v>10.343</v>
      </c>
      <c r="BT87" s="56">
        <v>38353</v>
      </c>
      <c r="BU87" s="8">
        <v>12749.549667358402</v>
      </c>
      <c r="BV87" s="8">
        <v>0</v>
      </c>
      <c r="BW87" s="8">
        <v>0</v>
      </c>
      <c r="CG87">
        <v>0.96322633747237185</v>
      </c>
      <c r="CH87">
        <v>1162.979861957838</v>
      </c>
      <c r="CI87" t="e">
        <v>#N/A</v>
      </c>
      <c r="CK87">
        <f>1-(((1-CG87)*(13))/(10))</f>
        <v>0.95219423871408337</v>
      </c>
      <c r="DW87" s="56">
        <v>38384</v>
      </c>
      <c r="DX87">
        <v>2167.3355946540796</v>
      </c>
      <c r="DY87">
        <v>0</v>
      </c>
      <c r="DZ87" s="8">
        <v>0</v>
      </c>
      <c r="EG87">
        <v>0.97408623160076657</v>
      </c>
      <c r="EH87">
        <v>1103.488883775472</v>
      </c>
      <c r="EI87" t="e">
        <v>#N/A</v>
      </c>
      <c r="EK87">
        <f>1-(((1-EG87)*(13))/(10))</f>
        <v>0.96631210108099652</v>
      </c>
      <c r="FE87" s="56">
        <v>38384</v>
      </c>
      <c r="FF87" s="8" t="e">
        <f>DX87+#REF!+#REF!</f>
        <v>#REF!</v>
      </c>
      <c r="FG87" s="8" t="e">
        <f>#REF!+DY87+#REF!</f>
        <v>#REF!</v>
      </c>
      <c r="FH87" s="8">
        <f t="shared" si="156"/>
        <v>0</v>
      </c>
    </row>
    <row r="88" spans="1:167" x14ac:dyDescent="0.25">
      <c r="A88" t="s">
        <v>176</v>
      </c>
      <c r="B88" s="20">
        <f>D69</f>
        <v>8.1999999999999993</v>
      </c>
      <c r="C88" s="8">
        <v>193872</v>
      </c>
      <c r="D88" s="8">
        <f>C88*1.5</f>
        <v>290808</v>
      </c>
      <c r="E88" s="8">
        <f>D88/B88</f>
        <v>35464.390243902439</v>
      </c>
      <c r="G88" s="8"/>
      <c r="AB88">
        <v>2005</v>
      </c>
      <c r="AC88">
        <v>8</v>
      </c>
      <c r="AD88" s="8">
        <v>1145.9796937853096</v>
      </c>
      <c r="AE88" s="8">
        <v>0</v>
      </c>
      <c r="AF88" s="8">
        <v>0</v>
      </c>
      <c r="AG88" s="11">
        <v>25.343</v>
      </c>
      <c r="BT88" s="56">
        <v>38384</v>
      </c>
      <c r="BU88" s="8">
        <v>7762.0934753417923</v>
      </c>
      <c r="BV88" s="8">
        <v>0</v>
      </c>
      <c r="BW88" s="8">
        <v>0</v>
      </c>
      <c r="CG88">
        <v>96.042375474890136</v>
      </c>
      <c r="CH88">
        <v>11</v>
      </c>
      <c r="CI88" t="e">
        <v>#N/A</v>
      </c>
      <c r="CK88">
        <v>3.98</v>
      </c>
      <c r="CL88" t="s">
        <v>602</v>
      </c>
      <c r="DW88" s="56">
        <v>38412</v>
      </c>
      <c r="DX88">
        <v>1137.6346030235295</v>
      </c>
      <c r="DY88">
        <v>0</v>
      </c>
      <c r="DZ88" s="8">
        <v>0</v>
      </c>
      <c r="EG88">
        <v>137.82825642507163</v>
      </c>
      <c r="EH88">
        <v>11</v>
      </c>
      <c r="EI88" t="e">
        <v>#N/A</v>
      </c>
      <c r="EJ88" t="s">
        <v>602</v>
      </c>
      <c r="EK88">
        <v>3.98</v>
      </c>
      <c r="EL88" s="15">
        <f>EG85/EG86</f>
        <v>6.313429511214169</v>
      </c>
      <c r="EM88" s="15">
        <f t="shared" ref="EM88:EN88" si="167">EH85/EH86</f>
        <v>12.725264427683937</v>
      </c>
      <c r="EN88" s="15">
        <f t="shared" si="167"/>
        <v>3.5214678174974274</v>
      </c>
      <c r="FE88" s="56">
        <v>38412</v>
      </c>
      <c r="FF88" s="8" t="e">
        <f>DX88+#REF!+#REF!</f>
        <v>#REF!</v>
      </c>
      <c r="FG88" s="8" t="e">
        <f>#REF!+DY88+#REF!</f>
        <v>#REF!</v>
      </c>
      <c r="FH88" s="8">
        <f t="shared" si="156"/>
        <v>0</v>
      </c>
    </row>
    <row r="89" spans="1:167" x14ac:dyDescent="0.25">
      <c r="A89" t="s">
        <v>177</v>
      </c>
      <c r="B89" s="20">
        <f t="shared" ref="B89:B104" si="168">D70</f>
        <v>6.8</v>
      </c>
      <c r="C89" s="8">
        <v>112776</v>
      </c>
      <c r="D89" s="8">
        <f t="shared" ref="D89:D104" si="169">C89*1.5</f>
        <v>169164</v>
      </c>
      <c r="E89" s="8">
        <f t="shared" ref="E89:E104" si="170">D89/B89</f>
        <v>24877.058823529413</v>
      </c>
      <c r="AB89">
        <v>2005</v>
      </c>
      <c r="AC89">
        <v>9</v>
      </c>
      <c r="AD89" s="8">
        <v>1616.5922238528726</v>
      </c>
      <c r="AE89" s="8">
        <v>0</v>
      </c>
      <c r="AF89" s="8">
        <v>0</v>
      </c>
      <c r="AG89" s="11">
        <v>25.343</v>
      </c>
      <c r="AH89" s="11"/>
      <c r="AI89" s="11"/>
      <c r="BT89" s="56">
        <v>38412</v>
      </c>
      <c r="BU89" s="8">
        <v>2389.9222946167001</v>
      </c>
      <c r="BV89" s="8">
        <v>0</v>
      </c>
      <c r="BW89" s="8">
        <v>0</v>
      </c>
      <c r="CG89">
        <v>389698323.19040972</v>
      </c>
      <c r="CH89">
        <v>14877743.752514193</v>
      </c>
      <c r="CI89" t="e">
        <v>#N/A</v>
      </c>
      <c r="DW89" s="56">
        <v>38443</v>
      </c>
      <c r="DX89">
        <v>76.867295503616333</v>
      </c>
      <c r="DY89">
        <v>0</v>
      </c>
      <c r="DZ89" s="8">
        <v>0</v>
      </c>
      <c r="EG89">
        <v>503495324.55424535</v>
      </c>
      <c r="EH89">
        <v>13394564.882776409</v>
      </c>
      <c r="EI89" t="e">
        <v>#N/A</v>
      </c>
      <c r="EL89" s="78">
        <v>0.995</v>
      </c>
      <c r="EM89" s="76">
        <v>0.995</v>
      </c>
      <c r="EN89" s="76">
        <v>0.995</v>
      </c>
      <c r="FE89" s="56">
        <v>38443</v>
      </c>
      <c r="FF89" s="8" t="e">
        <f>DX89+#REF!+#REF!</f>
        <v>#REF!</v>
      </c>
      <c r="FG89" s="8" t="e">
        <f>#REF!+DY89+#REF!</f>
        <v>#REF!</v>
      </c>
      <c r="FH89" s="8">
        <f t="shared" si="156"/>
        <v>0</v>
      </c>
    </row>
    <row r="90" spans="1:167" x14ac:dyDescent="0.25">
      <c r="A90" t="s">
        <v>105</v>
      </c>
      <c r="B90" s="20">
        <f t="shared" si="168"/>
        <v>6</v>
      </c>
      <c r="C90" s="8">
        <v>118903</v>
      </c>
      <c r="D90" s="8">
        <f t="shared" si="169"/>
        <v>178354.5</v>
      </c>
      <c r="E90" s="8">
        <f t="shared" si="170"/>
        <v>29725.75</v>
      </c>
      <c r="F90" s="8"/>
      <c r="AB90">
        <v>2005</v>
      </c>
      <c r="AC90">
        <v>10</v>
      </c>
      <c r="AD90" s="8">
        <v>7527.1505371630192</v>
      </c>
      <c r="AE90" s="8">
        <v>1622.033119201662</v>
      </c>
      <c r="AF90" s="8">
        <v>0</v>
      </c>
      <c r="AG90" s="11">
        <v>25.343</v>
      </c>
      <c r="AH90" s="11"/>
      <c r="AI90" s="11"/>
      <c r="BT90" s="56">
        <v>38443</v>
      </c>
      <c r="BU90" s="8">
        <v>0</v>
      </c>
      <c r="BV90" s="8">
        <v>0</v>
      </c>
      <c r="BW90" s="8">
        <v>0</v>
      </c>
      <c r="DW90" s="56">
        <v>38473</v>
      </c>
      <c r="DX90">
        <v>26.358443915843949</v>
      </c>
      <c r="DY90">
        <v>0</v>
      </c>
      <c r="DZ90" s="8">
        <v>0</v>
      </c>
      <c r="FE90" s="56">
        <v>38473</v>
      </c>
      <c r="FF90" s="8" t="e">
        <f>DX90+#REF!+#REF!</f>
        <v>#REF!</v>
      </c>
      <c r="FG90" s="8" t="e">
        <f>#REF!+DY90+#REF!</f>
        <v>#REF!</v>
      </c>
      <c r="FH90" s="8">
        <f t="shared" si="156"/>
        <v>0</v>
      </c>
    </row>
    <row r="91" spans="1:167" x14ac:dyDescent="0.25">
      <c r="A91" t="s">
        <v>106</v>
      </c>
      <c r="B91" s="20">
        <f t="shared" si="168"/>
        <v>7.1228214285714282</v>
      </c>
      <c r="C91" s="8">
        <v>130698</v>
      </c>
      <c r="D91" s="8">
        <f t="shared" si="169"/>
        <v>196047</v>
      </c>
      <c r="E91" s="8">
        <f t="shared" si="170"/>
        <v>27523.784214722298</v>
      </c>
      <c r="F91" s="8"/>
      <c r="AB91">
        <v>2005</v>
      </c>
      <c r="AC91">
        <v>11</v>
      </c>
      <c r="AD91" s="8">
        <v>4187.061510503293</v>
      </c>
      <c r="AE91" s="8">
        <v>9246.9373130053318</v>
      </c>
      <c r="AF91" s="8">
        <v>0</v>
      </c>
      <c r="AG91" s="11">
        <v>31.343</v>
      </c>
      <c r="AH91" s="11"/>
      <c r="AI91" s="11"/>
      <c r="BT91" s="56">
        <v>38473</v>
      </c>
      <c r="BU91" s="8">
        <v>0</v>
      </c>
      <c r="BV91" s="8">
        <v>0</v>
      </c>
      <c r="BW91" s="8">
        <v>0</v>
      </c>
      <c r="CG91" s="15">
        <f>CG85/CG86</f>
        <v>6.2681755533393018</v>
      </c>
      <c r="CH91" s="15">
        <f t="shared" ref="CH91:CI91" si="171">CH85/CH86</f>
        <v>9.8548429710984404</v>
      </c>
      <c r="CI91" s="15">
        <f t="shared" si="171"/>
        <v>2.7165541391811732</v>
      </c>
      <c r="DW91" s="56">
        <v>38504</v>
      </c>
      <c r="DX91">
        <v>5.83181941509247</v>
      </c>
      <c r="DY91">
        <v>0</v>
      </c>
      <c r="DZ91" s="8">
        <v>0</v>
      </c>
      <c r="EF91" t="s">
        <v>43</v>
      </c>
      <c r="EG91" t="s">
        <v>250</v>
      </c>
      <c r="EH91" t="s">
        <v>251</v>
      </c>
      <c r="EI91" t="s">
        <v>508</v>
      </c>
      <c r="EJ91" t="s">
        <v>509</v>
      </c>
      <c r="EK91" t="s">
        <v>43</v>
      </c>
      <c r="EL91" t="s">
        <v>466</v>
      </c>
      <c r="EM91" t="s">
        <v>510</v>
      </c>
      <c r="FF91" s="56">
        <v>38504</v>
      </c>
      <c r="FG91" s="8" t="e">
        <f>DX91+#REF!+#REF!</f>
        <v>#REF!</v>
      </c>
      <c r="FH91" s="8" t="e">
        <f>#REF!+DY91+#REF!</f>
        <v>#REF!</v>
      </c>
      <c r="FI91" s="8">
        <f>DZ91</f>
        <v>0</v>
      </c>
    </row>
    <row r="92" spans="1:167" x14ac:dyDescent="0.25">
      <c r="A92" t="s">
        <v>107</v>
      </c>
      <c r="B92" s="20">
        <f t="shared" si="168"/>
        <v>8.1999999999999993</v>
      </c>
      <c r="C92" s="8">
        <v>174507</v>
      </c>
      <c r="D92" s="8">
        <f t="shared" si="169"/>
        <v>261760.5</v>
      </c>
      <c r="E92" s="8">
        <f t="shared" si="170"/>
        <v>31922.012195121955</v>
      </c>
      <c r="F92" s="8"/>
      <c r="AB92">
        <v>2005</v>
      </c>
      <c r="AC92">
        <v>12</v>
      </c>
      <c r="AD92" s="8">
        <v>32933.709872826883</v>
      </c>
      <c r="AE92" s="8">
        <v>449.47968196868908</v>
      </c>
      <c r="AF92" s="8">
        <v>0</v>
      </c>
      <c r="AG92" s="11">
        <v>92.343000000000004</v>
      </c>
      <c r="BT92" s="56">
        <v>38504</v>
      </c>
      <c r="BU92" s="8">
        <v>0</v>
      </c>
      <c r="BV92" s="8">
        <v>0</v>
      </c>
      <c r="BW92" s="8">
        <v>0</v>
      </c>
      <c r="CC92" s="58"/>
      <c r="CD92" s="8"/>
      <c r="CG92" s="76">
        <v>0.995</v>
      </c>
      <c r="CH92" s="76">
        <v>0.995</v>
      </c>
      <c r="CI92" s="75">
        <v>0.99</v>
      </c>
      <c r="DW92" s="56">
        <v>38534</v>
      </c>
      <c r="DX92">
        <v>703.53762817382778</v>
      </c>
      <c r="DY92">
        <v>100.64967727661131</v>
      </c>
      <c r="DZ92" s="8">
        <v>56.932771563530011</v>
      </c>
      <c r="EF92" s="56">
        <v>36465</v>
      </c>
      <c r="EG92" s="8">
        <f>EH3</f>
        <v>45031.684056267142</v>
      </c>
      <c r="EH92" s="8">
        <f>EI3</f>
        <v>2281.8575906753545</v>
      </c>
      <c r="EI92">
        <v>1</v>
      </c>
      <c r="EJ92">
        <v>0</v>
      </c>
      <c r="EK92" s="56">
        <v>36465</v>
      </c>
      <c r="EL92" s="8">
        <f>ER25</f>
        <v>11134.459329623023</v>
      </c>
      <c r="FE92" s="56">
        <v>38534</v>
      </c>
      <c r="FF92" s="8" t="e">
        <f>DX92+#REF!+#REF!</f>
        <v>#REF!</v>
      </c>
      <c r="FG92" s="8" t="e">
        <f>#REF!+DY92+#REF!</f>
        <v>#REF!</v>
      </c>
      <c r="FH92" s="8">
        <f t="shared" si="156"/>
        <v>56.932771563530011</v>
      </c>
    </row>
    <row r="93" spans="1:167" x14ac:dyDescent="0.25">
      <c r="A93" t="s">
        <v>108</v>
      </c>
      <c r="B93" s="20">
        <f t="shared" si="168"/>
        <v>7.8</v>
      </c>
      <c r="C93" s="8">
        <v>87808</v>
      </c>
      <c r="D93" s="8">
        <f t="shared" si="169"/>
        <v>131712</v>
      </c>
      <c r="E93" s="8">
        <f t="shared" si="170"/>
        <v>16886.153846153848</v>
      </c>
      <c r="F93" s="8"/>
      <c r="AB93">
        <v>2006</v>
      </c>
      <c r="AC93">
        <v>1</v>
      </c>
      <c r="AD93" s="8">
        <v>40725.697828173623</v>
      </c>
      <c r="AE93" s="8">
        <v>111.27734756469731</v>
      </c>
      <c r="AF93" s="8">
        <v>0</v>
      </c>
      <c r="AG93" s="11">
        <v>102</v>
      </c>
      <c r="BT93" s="56">
        <v>38534</v>
      </c>
      <c r="BU93" s="8">
        <v>599.43488359451305</v>
      </c>
      <c r="BV93" s="8">
        <v>153.13956451416001</v>
      </c>
      <c r="BW93" s="8">
        <v>0</v>
      </c>
      <c r="CC93" s="58"/>
      <c r="CD93" s="8"/>
      <c r="DW93" s="56">
        <v>38565</v>
      </c>
      <c r="DX93">
        <v>1036.6358184814455</v>
      </c>
      <c r="DY93">
        <v>0</v>
      </c>
      <c r="DZ93" s="8">
        <v>75.938641548156781</v>
      </c>
      <c r="EF93" s="56">
        <v>36831</v>
      </c>
      <c r="EG93" s="8">
        <f t="shared" ref="EG93:EH93" si="172">EH4</f>
        <v>102891.15013855686</v>
      </c>
      <c r="EH93" s="8">
        <f t="shared" si="172"/>
        <v>204.60185533761978</v>
      </c>
      <c r="EI93">
        <v>1</v>
      </c>
      <c r="EJ93">
        <v>0</v>
      </c>
      <c r="EK93" s="56">
        <v>36831</v>
      </c>
      <c r="EL93" s="8">
        <f t="shared" ref="EL93:EL105" si="173">ER26</f>
        <v>11889.101565949493</v>
      </c>
      <c r="FE93" s="56">
        <v>38565</v>
      </c>
      <c r="FF93" s="8" t="e">
        <f>DX93+#REF!+#REF!</f>
        <v>#REF!</v>
      </c>
      <c r="FG93" s="8" t="e">
        <f>#REF!+DY93+#REF!</f>
        <v>#REF!</v>
      </c>
      <c r="FH93" s="8">
        <f t="shared" si="156"/>
        <v>75.938641548156781</v>
      </c>
    </row>
    <row r="94" spans="1:167" x14ac:dyDescent="0.25">
      <c r="A94" t="s">
        <v>109</v>
      </c>
      <c r="B94" s="20">
        <f t="shared" si="168"/>
        <v>8.96875</v>
      </c>
      <c r="C94" s="8">
        <v>51475</v>
      </c>
      <c r="D94" s="8">
        <f t="shared" si="169"/>
        <v>77212.5</v>
      </c>
      <c r="E94" s="8">
        <f t="shared" si="170"/>
        <v>8609.0592334494777</v>
      </c>
      <c r="F94" s="8"/>
      <c r="AB94">
        <v>2006</v>
      </c>
      <c r="AC94">
        <v>2</v>
      </c>
      <c r="AD94" s="8">
        <v>38303.195966422551</v>
      </c>
      <c r="AE94" s="8">
        <v>0</v>
      </c>
      <c r="AF94" s="8">
        <v>0</v>
      </c>
      <c r="AG94" s="11">
        <v>102</v>
      </c>
      <c r="BT94" s="56">
        <v>38565</v>
      </c>
      <c r="BU94" s="8">
        <v>907.79820299148469</v>
      </c>
      <c r="BV94" s="8">
        <v>0</v>
      </c>
      <c r="BW94" s="8">
        <v>0</v>
      </c>
      <c r="CC94" s="58"/>
      <c r="CD94" s="8"/>
      <c r="DW94" s="56">
        <v>38596</v>
      </c>
      <c r="DX94">
        <v>1575.305442810059</v>
      </c>
      <c r="DY94">
        <v>0</v>
      </c>
      <c r="DZ94" s="8">
        <v>118.52027893066408</v>
      </c>
      <c r="EF94" s="56">
        <v>37196</v>
      </c>
      <c r="EG94" s="8">
        <f t="shared" ref="EG94:EH94" si="174">EH5</f>
        <v>52205.84387549758</v>
      </c>
      <c r="EH94" s="8">
        <f t="shared" si="174"/>
        <v>703.77047729492199</v>
      </c>
      <c r="EI94">
        <v>1</v>
      </c>
      <c r="EJ94">
        <v>0</v>
      </c>
      <c r="EK94" s="56">
        <v>37196</v>
      </c>
      <c r="EL94" s="8">
        <f t="shared" si="173"/>
        <v>10050.983419889508</v>
      </c>
      <c r="FE94" s="56">
        <v>38596</v>
      </c>
      <c r="FF94" s="8" t="e">
        <f>DX94+#REF!+#REF!</f>
        <v>#REF!</v>
      </c>
      <c r="FG94" s="8" t="e">
        <f>#REF!+DY94+#REF!</f>
        <v>#REF!</v>
      </c>
      <c r="FH94" s="8">
        <f t="shared" si="156"/>
        <v>118.52027893066408</v>
      </c>
    </row>
    <row r="95" spans="1:167" x14ac:dyDescent="0.25">
      <c r="A95" t="s">
        <v>110</v>
      </c>
      <c r="B95" s="20">
        <f t="shared" si="168"/>
        <v>9.1428571428571423</v>
      </c>
      <c r="C95" s="8">
        <v>0</v>
      </c>
      <c r="D95" s="8">
        <f t="shared" si="169"/>
        <v>0</v>
      </c>
      <c r="E95" s="8">
        <f t="shared" si="170"/>
        <v>0</v>
      </c>
      <c r="F95" s="8"/>
      <c r="AB95">
        <v>2006</v>
      </c>
      <c r="AC95">
        <v>3</v>
      </c>
      <c r="AD95" s="8">
        <v>31579.460728049322</v>
      </c>
      <c r="AE95" s="8">
        <v>0</v>
      </c>
      <c r="AF95" s="8">
        <v>0</v>
      </c>
      <c r="AG95" s="11">
        <v>102</v>
      </c>
      <c r="AH95" s="11">
        <f>SUM(AD87:AD95)</f>
        <v>158742.9722597599</v>
      </c>
      <c r="AI95" s="11">
        <f>SUM(AE87:AE95)</f>
        <v>11687.210619851952</v>
      </c>
      <c r="BT95" s="56">
        <v>38596</v>
      </c>
      <c r="BU95" s="8">
        <v>1397.3722171783445</v>
      </c>
      <c r="BV95" s="8">
        <v>0</v>
      </c>
      <c r="BW95" s="8">
        <v>0</v>
      </c>
      <c r="CC95" s="58"/>
      <c r="CD95" s="8"/>
      <c r="DW95" s="56">
        <v>38626</v>
      </c>
      <c r="DX95">
        <v>6664.2675266265942</v>
      </c>
      <c r="DY95">
        <v>575.84912109375</v>
      </c>
      <c r="DZ95" s="8">
        <v>557.71788311004491</v>
      </c>
      <c r="EF95" s="56">
        <v>37561</v>
      </c>
      <c r="EG95" s="8">
        <f t="shared" ref="EG95:EH95" si="175">EH6</f>
        <v>20855.422476694006</v>
      </c>
      <c r="EH95" s="8">
        <f t="shared" si="175"/>
        <v>0</v>
      </c>
      <c r="EI95">
        <v>1</v>
      </c>
      <c r="EJ95">
        <v>0</v>
      </c>
      <c r="EK95" s="56">
        <v>37561</v>
      </c>
      <c r="EL95" s="8">
        <f t="shared" si="173"/>
        <v>2110.1590801762873</v>
      </c>
      <c r="FE95" s="56">
        <v>38626</v>
      </c>
      <c r="FF95" s="8" t="e">
        <f>DX95+#REF!+#REF!</f>
        <v>#REF!</v>
      </c>
      <c r="FG95" s="8" t="e">
        <f>#REF!+DY95+#REF!</f>
        <v>#REF!</v>
      </c>
      <c r="FH95" s="8">
        <f t="shared" si="156"/>
        <v>557.71788311004491</v>
      </c>
    </row>
    <row r="96" spans="1:167" x14ac:dyDescent="0.25">
      <c r="A96" t="s">
        <v>111</v>
      </c>
      <c r="B96" s="20">
        <f t="shared" si="168"/>
        <v>9.75</v>
      </c>
      <c r="C96" s="8">
        <v>60684</v>
      </c>
      <c r="D96" s="8">
        <f t="shared" si="169"/>
        <v>91026</v>
      </c>
      <c r="E96" s="8">
        <f t="shared" si="170"/>
        <v>9336</v>
      </c>
      <c r="F96" s="8"/>
      <c r="AB96">
        <v>2006</v>
      </c>
      <c r="AC96">
        <v>4</v>
      </c>
      <c r="AD96" s="8">
        <v>11314.929921388626</v>
      </c>
      <c r="AE96" s="8">
        <v>0</v>
      </c>
      <c r="AF96" s="8">
        <v>0</v>
      </c>
      <c r="AG96" s="11">
        <v>102</v>
      </c>
      <c r="BT96" s="56">
        <v>38626</v>
      </c>
      <c r="BU96" s="8">
        <v>4910.8625764846865</v>
      </c>
      <c r="BV96" s="8">
        <v>1465.66809082031</v>
      </c>
      <c r="BW96" s="8">
        <v>0</v>
      </c>
      <c r="CC96" s="58"/>
      <c r="CD96" s="8"/>
      <c r="DW96" s="56">
        <v>38657</v>
      </c>
      <c r="DX96">
        <v>4761.1759855747241</v>
      </c>
      <c r="DY96">
        <v>2195.6988222598993</v>
      </c>
      <c r="DZ96" s="8">
        <v>532.59377717971802</v>
      </c>
      <c r="EA96" s="56">
        <f>DW96</f>
        <v>38657</v>
      </c>
      <c r="EB96" s="8">
        <f>SUM(DZ92:DZ100)</f>
        <v>4421.7741430997821</v>
      </c>
      <c r="EC96" s="8">
        <f>SUM(DX92:DX100)</f>
        <v>74074.216557025924</v>
      </c>
      <c r="ED96" s="8">
        <f>SUM(DY92:DY100)</f>
        <v>3351.3345558643309</v>
      </c>
      <c r="EF96" s="56">
        <v>37926</v>
      </c>
      <c r="EG96" s="8">
        <f t="shared" ref="EG96:EH96" si="176">EH7</f>
        <v>30686.627013891935</v>
      </c>
      <c r="EH96" s="8">
        <f t="shared" si="176"/>
        <v>3995.0437707900996</v>
      </c>
      <c r="EI96">
        <v>0</v>
      </c>
      <c r="EJ96">
        <v>0</v>
      </c>
      <c r="EK96" s="56">
        <v>37926</v>
      </c>
      <c r="EL96" s="8">
        <f t="shared" si="173"/>
        <v>471.33544747643202</v>
      </c>
      <c r="FE96" s="56">
        <v>38657</v>
      </c>
      <c r="FF96" s="8" t="e">
        <f>DX96+#REF!+#REF!</f>
        <v>#REF!</v>
      </c>
      <c r="FG96" s="8" t="e">
        <f>#REF!+DY96+#REF!</f>
        <v>#REF!</v>
      </c>
      <c r="FH96" s="8">
        <f t="shared" si="156"/>
        <v>532.59377717971802</v>
      </c>
      <c r="FI96" s="8" t="e">
        <f>SUM(FF92:FF100)</f>
        <v>#REF!</v>
      </c>
      <c r="FJ96" s="8" t="e">
        <f>SUM(FG92:FG100)</f>
        <v>#REF!</v>
      </c>
      <c r="FK96" s="8">
        <f>SUM(FH92:FH100)</f>
        <v>4421.7741430997821</v>
      </c>
    </row>
    <row r="97" spans="1:167" x14ac:dyDescent="0.25">
      <c r="A97" t="s">
        <v>112</v>
      </c>
      <c r="B97" s="20">
        <f t="shared" si="168"/>
        <v>9.7122302158273381</v>
      </c>
      <c r="C97" s="8">
        <v>34087</v>
      </c>
      <c r="D97" s="8">
        <f t="shared" si="169"/>
        <v>51130.5</v>
      </c>
      <c r="E97" s="8">
        <f t="shared" si="170"/>
        <v>5264.5477777777778</v>
      </c>
      <c r="F97" s="8"/>
      <c r="AB97">
        <v>2006</v>
      </c>
      <c r="AC97">
        <v>5</v>
      </c>
      <c r="AD97" s="8">
        <v>734.24472317099594</v>
      </c>
      <c r="AE97" s="8">
        <v>0.62831240892410301</v>
      </c>
      <c r="AF97" s="8">
        <v>0</v>
      </c>
      <c r="AG97" s="11">
        <v>102</v>
      </c>
      <c r="BT97" s="56">
        <v>38657</v>
      </c>
      <c r="BU97" s="8">
        <v>1225.1613197326674</v>
      </c>
      <c r="BV97" s="8">
        <v>5996.1179656982385</v>
      </c>
      <c r="BW97" s="8">
        <v>0</v>
      </c>
      <c r="BX97" s="8">
        <f>SUM(BW93:BW101)</f>
        <v>0</v>
      </c>
      <c r="BY97" s="8">
        <f>SUM(BU93:BU101)</f>
        <v>72060.121536254897</v>
      </c>
      <c r="BZ97" s="8">
        <f>SUM(BV85:BV96)</f>
        <v>3390.8312034606911</v>
      </c>
      <c r="CC97" s="58"/>
      <c r="CD97" s="8"/>
      <c r="DW97" s="56">
        <v>38687</v>
      </c>
      <c r="DX97">
        <v>13952.81390666962</v>
      </c>
      <c r="DY97">
        <v>339.23171997070301</v>
      </c>
      <c r="DZ97" s="8">
        <v>1128.2768378257745</v>
      </c>
      <c r="EF97" s="56">
        <v>38292</v>
      </c>
      <c r="EG97" s="8">
        <f t="shared" ref="EG97:EH97" si="177">EH8</f>
        <v>28183.002410352226</v>
      </c>
      <c r="EH97" s="8">
        <f t="shared" si="177"/>
        <v>799.241004943848</v>
      </c>
      <c r="EI97">
        <v>0</v>
      </c>
      <c r="EJ97">
        <v>0</v>
      </c>
      <c r="EK97" s="56">
        <v>38292</v>
      </c>
      <c r="EL97" s="8">
        <f t="shared" si="173"/>
        <v>0</v>
      </c>
      <c r="FE97" s="56">
        <v>38687</v>
      </c>
      <c r="FF97" s="8" t="e">
        <f>DX97+#REF!+#REF!</f>
        <v>#REF!</v>
      </c>
      <c r="FG97" s="8" t="e">
        <f>#REF!+DY97+#REF!</f>
        <v>#REF!</v>
      </c>
      <c r="FH97" s="8">
        <f t="shared" si="156"/>
        <v>1128.2768378257745</v>
      </c>
    </row>
    <row r="98" spans="1:167" x14ac:dyDescent="0.25">
      <c r="A98" t="s">
        <v>113</v>
      </c>
      <c r="B98" s="20">
        <f t="shared" si="168"/>
        <v>9.5015576323987538</v>
      </c>
      <c r="C98" s="8">
        <v>0</v>
      </c>
      <c r="D98" s="8">
        <f t="shared" si="169"/>
        <v>0</v>
      </c>
      <c r="E98" s="8">
        <f t="shared" si="170"/>
        <v>0</v>
      </c>
      <c r="F98" s="8"/>
      <c r="AB98">
        <v>2006</v>
      </c>
      <c r="AC98">
        <v>6</v>
      </c>
      <c r="AD98" s="8">
        <v>134.39869126677507</v>
      </c>
      <c r="AE98" s="8">
        <v>4.6002240329980859</v>
      </c>
      <c r="AF98" s="8">
        <v>0</v>
      </c>
      <c r="AG98" s="11">
        <v>102</v>
      </c>
      <c r="BT98" s="56">
        <v>38687</v>
      </c>
      <c r="BU98" s="8">
        <v>13614.271102905273</v>
      </c>
      <c r="BV98" s="8">
        <v>723.7802734375</v>
      </c>
      <c r="BW98" s="8">
        <v>0</v>
      </c>
      <c r="CC98" s="58"/>
      <c r="CD98" s="8"/>
      <c r="DW98" s="56">
        <v>38718</v>
      </c>
      <c r="DX98">
        <v>17656.043490171432</v>
      </c>
      <c r="DY98">
        <v>139.90521526336701</v>
      </c>
      <c r="DZ98" s="8">
        <v>1444.4681777954095</v>
      </c>
      <c r="EF98" s="56">
        <v>38657</v>
      </c>
      <c r="EG98" s="8">
        <f t="shared" ref="EG98:EH98" si="178">EH9</f>
        <v>74074.216557025924</v>
      </c>
      <c r="EH98" s="8">
        <f t="shared" si="178"/>
        <v>3351.3345558643309</v>
      </c>
      <c r="EI98">
        <v>0</v>
      </c>
      <c r="EJ98">
        <v>0</v>
      </c>
      <c r="EK98" s="56">
        <v>38657</v>
      </c>
      <c r="EL98" s="8">
        <f t="shared" si="173"/>
        <v>1281.525880828053</v>
      </c>
      <c r="FE98" s="56">
        <v>38718</v>
      </c>
      <c r="FF98" s="8" t="e">
        <f>DX98+#REF!+#REF!</f>
        <v>#REF!</v>
      </c>
      <c r="FG98" s="8" t="e">
        <f>#REF!+DY98+#REF!</f>
        <v>#REF!</v>
      </c>
      <c r="FH98" s="8">
        <f t="shared" si="156"/>
        <v>1444.4681777954095</v>
      </c>
    </row>
    <row r="99" spans="1:167" x14ac:dyDescent="0.25">
      <c r="A99" t="s">
        <v>114</v>
      </c>
      <c r="B99" s="20">
        <f t="shared" si="168"/>
        <v>9.0361445783132535</v>
      </c>
      <c r="C99" s="8">
        <v>11140</v>
      </c>
      <c r="D99" s="8">
        <f t="shared" si="169"/>
        <v>16710</v>
      </c>
      <c r="E99" s="8">
        <f t="shared" si="170"/>
        <v>1849.24</v>
      </c>
      <c r="F99" s="8"/>
      <c r="AB99">
        <v>2006</v>
      </c>
      <c r="AC99">
        <v>7</v>
      </c>
      <c r="AD99" s="8">
        <v>0</v>
      </c>
      <c r="AE99" s="8">
        <v>0</v>
      </c>
      <c r="AF99" s="8">
        <v>0</v>
      </c>
      <c r="AG99" s="11">
        <v>72.637</v>
      </c>
      <c r="BT99" s="56">
        <v>38718</v>
      </c>
      <c r="BU99" s="8">
        <v>18742.449867248539</v>
      </c>
      <c r="BV99" s="8">
        <v>303.23760986328102</v>
      </c>
      <c r="BW99" s="8">
        <v>0</v>
      </c>
      <c r="CC99" s="58"/>
      <c r="CD99" s="8"/>
      <c r="DW99" s="56">
        <v>38749</v>
      </c>
      <c r="DX99">
        <v>14402.409937858582</v>
      </c>
      <c r="DY99">
        <v>0</v>
      </c>
      <c r="DZ99" s="8">
        <v>507.32577514648449</v>
      </c>
      <c r="EF99" s="56">
        <v>39022</v>
      </c>
      <c r="EG99" s="8">
        <f t="shared" ref="EG99:EH99" si="179">EH10</f>
        <v>82581.207894816995</v>
      </c>
      <c r="EH99" s="8">
        <f t="shared" si="179"/>
        <v>32.2077445983887</v>
      </c>
      <c r="EI99">
        <v>0</v>
      </c>
      <c r="EJ99">
        <v>0</v>
      </c>
      <c r="EK99" s="56">
        <v>39022</v>
      </c>
      <c r="EL99" s="8">
        <f t="shared" si="173"/>
        <v>732.21358934387376</v>
      </c>
      <c r="FE99" s="56">
        <v>38749</v>
      </c>
      <c r="FF99" s="8" t="e">
        <f>DX99+#REF!+#REF!</f>
        <v>#REF!</v>
      </c>
      <c r="FG99" s="8" t="e">
        <f>#REF!+DY99+#REF!</f>
        <v>#REF!</v>
      </c>
      <c r="FH99" s="8">
        <f t="shared" si="156"/>
        <v>507.32577514648449</v>
      </c>
    </row>
    <row r="100" spans="1:167" x14ac:dyDescent="0.25">
      <c r="A100" t="s">
        <v>115</v>
      </c>
      <c r="B100" s="20">
        <f t="shared" si="168"/>
        <v>9.75</v>
      </c>
      <c r="C100" s="8">
        <v>16080</v>
      </c>
      <c r="D100" s="8">
        <f t="shared" si="169"/>
        <v>24120</v>
      </c>
      <c r="E100" s="8">
        <f t="shared" si="170"/>
        <v>2473.8461538461538</v>
      </c>
      <c r="F100" s="8"/>
      <c r="AB100">
        <v>2006</v>
      </c>
      <c r="AC100">
        <v>8</v>
      </c>
      <c r="AD100" s="8">
        <v>8.6684838086366724</v>
      </c>
      <c r="AE100" s="8">
        <v>0</v>
      </c>
      <c r="AF100" s="8">
        <v>0</v>
      </c>
      <c r="AG100" s="11">
        <v>74.637</v>
      </c>
      <c r="BT100" s="56">
        <v>38749</v>
      </c>
      <c r="BU100" s="8">
        <v>16187.716670989987</v>
      </c>
      <c r="BV100" s="8">
        <v>0</v>
      </c>
      <c r="BW100" s="8">
        <v>0</v>
      </c>
      <c r="CC100" s="58"/>
      <c r="CD100" s="8"/>
      <c r="DW100" s="56">
        <v>38777</v>
      </c>
      <c r="DX100">
        <v>13322.026820659639</v>
      </c>
      <c r="DY100">
        <v>0</v>
      </c>
      <c r="DZ100" s="8">
        <v>0</v>
      </c>
      <c r="EF100" s="56">
        <v>39387</v>
      </c>
      <c r="EG100" s="8">
        <f t="shared" ref="EG100:EH100" si="180">EH11</f>
        <v>22336.865472311161</v>
      </c>
      <c r="EH100" s="8">
        <f t="shared" si="180"/>
        <v>1517.1460266113306</v>
      </c>
      <c r="EI100">
        <v>0</v>
      </c>
      <c r="EJ100">
        <v>0</v>
      </c>
      <c r="EK100" s="56">
        <v>39387</v>
      </c>
      <c r="EL100" s="8">
        <f t="shared" si="173"/>
        <v>0</v>
      </c>
      <c r="FE100" s="56">
        <v>38777</v>
      </c>
      <c r="FF100" s="8" t="e">
        <f>DX100+#REF!+#REF!</f>
        <v>#REF!</v>
      </c>
      <c r="FG100" s="8" t="e">
        <f>#REF!+DY100+#REF!</f>
        <v>#REF!</v>
      </c>
      <c r="FH100" s="8">
        <f t="shared" si="156"/>
        <v>0</v>
      </c>
    </row>
    <row r="101" spans="1:167" x14ac:dyDescent="0.25">
      <c r="A101" t="s">
        <v>116</v>
      </c>
      <c r="B101" s="20">
        <f t="shared" si="168"/>
        <v>9.3000000000000007</v>
      </c>
      <c r="C101" s="8">
        <v>47412</v>
      </c>
      <c r="D101" s="8">
        <f t="shared" si="169"/>
        <v>71118</v>
      </c>
      <c r="E101" s="8">
        <f t="shared" si="170"/>
        <v>7647.0967741935474</v>
      </c>
      <c r="F101" s="8"/>
      <c r="AB101">
        <v>2006</v>
      </c>
      <c r="AC101">
        <v>9</v>
      </c>
      <c r="AD101" s="8">
        <v>25.912218257784893</v>
      </c>
      <c r="AE101" s="8">
        <v>0</v>
      </c>
      <c r="AF101" s="8">
        <v>0</v>
      </c>
      <c r="AG101" s="11">
        <v>74.637</v>
      </c>
      <c r="AH101" s="11"/>
      <c r="AI101" s="11"/>
      <c r="BT101" s="56">
        <v>38777</v>
      </c>
      <c r="BU101" s="8">
        <v>14475.054695129396</v>
      </c>
      <c r="BV101" s="8">
        <v>0</v>
      </c>
      <c r="BW101" s="8">
        <v>0</v>
      </c>
      <c r="CC101" s="58"/>
      <c r="CD101" s="8"/>
      <c r="DW101" s="56">
        <v>38808</v>
      </c>
      <c r="DX101">
        <v>4535.7900852262956</v>
      </c>
      <c r="DY101">
        <v>0</v>
      </c>
      <c r="DZ101" s="8">
        <v>0</v>
      </c>
      <c r="EF101" s="56">
        <v>39753</v>
      </c>
      <c r="EG101" s="8">
        <f t="shared" ref="EG101:EH101" si="181">EH12</f>
        <v>26137.209814943377</v>
      </c>
      <c r="EH101" s="8">
        <f t="shared" si="181"/>
        <v>72.656913757324205</v>
      </c>
      <c r="EI101">
        <v>0</v>
      </c>
      <c r="EJ101">
        <v>0</v>
      </c>
      <c r="EK101" s="56">
        <v>39753</v>
      </c>
      <c r="EL101" s="8">
        <f t="shared" si="173"/>
        <v>0</v>
      </c>
      <c r="FE101" s="56">
        <v>38808</v>
      </c>
      <c r="FF101" s="8" t="e">
        <f>DX101+#REF!+#REF!</f>
        <v>#REF!</v>
      </c>
      <c r="FG101" s="8" t="e">
        <f>#REF!+DY101+#REF!</f>
        <v>#REF!</v>
      </c>
      <c r="FH101" s="8">
        <f t="shared" si="156"/>
        <v>0</v>
      </c>
    </row>
    <row r="102" spans="1:167" x14ac:dyDescent="0.25">
      <c r="A102" t="s">
        <v>117</v>
      </c>
      <c r="B102" s="20">
        <f t="shared" si="168"/>
        <v>11</v>
      </c>
      <c r="C102" s="8">
        <v>214167</v>
      </c>
      <c r="D102" s="8">
        <f t="shared" si="169"/>
        <v>321250.5</v>
      </c>
      <c r="E102" s="8">
        <f t="shared" si="170"/>
        <v>29204.590909090908</v>
      </c>
      <c r="F102" s="8"/>
      <c r="AB102">
        <v>2006</v>
      </c>
      <c r="AC102">
        <v>10</v>
      </c>
      <c r="AD102" s="8">
        <v>3067.8738901615147</v>
      </c>
      <c r="AE102" s="8">
        <v>0</v>
      </c>
      <c r="AF102" s="8">
        <v>0</v>
      </c>
      <c r="AG102" s="11">
        <v>74.637</v>
      </c>
      <c r="AH102" s="11"/>
      <c r="AI102" s="11"/>
      <c r="BT102" s="56">
        <v>38808</v>
      </c>
      <c r="BU102" s="8">
        <v>4411.8306808471716</v>
      </c>
      <c r="BV102" s="8">
        <v>0</v>
      </c>
      <c r="BW102" s="8">
        <v>0</v>
      </c>
      <c r="CC102" s="58"/>
      <c r="CD102" s="8"/>
      <c r="DW102" s="56">
        <v>38838</v>
      </c>
      <c r="DX102">
        <v>1505.4447335004807</v>
      </c>
      <c r="DY102">
        <v>0</v>
      </c>
      <c r="DZ102" s="8">
        <v>0</v>
      </c>
      <c r="EF102" s="56">
        <v>40118</v>
      </c>
      <c r="EG102" s="8">
        <f t="shared" ref="EG102:EH102" si="182">EH13</f>
        <v>8082.1496472060689</v>
      </c>
      <c r="EH102" s="8">
        <f t="shared" si="182"/>
        <v>4014.4633746147201</v>
      </c>
      <c r="EI102">
        <v>0</v>
      </c>
      <c r="EJ102">
        <v>0</v>
      </c>
      <c r="EK102" s="56">
        <v>40118</v>
      </c>
      <c r="EL102" s="8">
        <f t="shared" si="173"/>
        <v>0</v>
      </c>
      <c r="FE102" s="56">
        <v>38838</v>
      </c>
      <c r="FF102" s="8" t="e">
        <f>DX102+#REF!+#REF!</f>
        <v>#REF!</v>
      </c>
      <c r="FG102" s="8" t="e">
        <f>#REF!+DY102+#REF!</f>
        <v>#REF!</v>
      </c>
      <c r="FH102" s="8">
        <f t="shared" si="156"/>
        <v>0</v>
      </c>
    </row>
    <row r="103" spans="1:167" x14ac:dyDescent="0.25">
      <c r="A103" t="s">
        <v>118</v>
      </c>
      <c r="B103" s="20">
        <f t="shared" si="168"/>
        <v>11</v>
      </c>
      <c r="C103" s="8">
        <v>219155</v>
      </c>
      <c r="D103" s="8">
        <f t="shared" si="169"/>
        <v>328732.5</v>
      </c>
      <c r="E103" s="8">
        <f t="shared" si="170"/>
        <v>29884.772727272728</v>
      </c>
      <c r="F103" s="8"/>
      <c r="AB103">
        <v>2006</v>
      </c>
      <c r="AC103">
        <v>11</v>
      </c>
      <c r="AD103" s="8">
        <v>26687.014866352081</v>
      </c>
      <c r="AE103" s="8">
        <v>20.328680038452099</v>
      </c>
      <c r="AF103" s="8">
        <v>0</v>
      </c>
      <c r="AG103" s="11">
        <v>74.637</v>
      </c>
      <c r="AH103" s="11"/>
      <c r="AI103" s="11"/>
      <c r="BT103" s="56">
        <v>38838</v>
      </c>
      <c r="BU103" s="8">
        <v>699.55037069320576</v>
      </c>
      <c r="BV103" s="8">
        <v>0</v>
      </c>
      <c r="BW103" s="8">
        <v>0</v>
      </c>
      <c r="CC103" s="58"/>
      <c r="CD103" s="8"/>
      <c r="DW103" s="56">
        <v>38869</v>
      </c>
      <c r="DX103">
        <v>233.0449413657189</v>
      </c>
      <c r="DY103">
        <v>0</v>
      </c>
      <c r="DZ103" s="8">
        <v>0</v>
      </c>
      <c r="EF103" s="56">
        <v>40483</v>
      </c>
      <c r="EG103" s="8">
        <f t="shared" ref="EG103:EH103" si="183">EH14</f>
        <v>110379.55266344546</v>
      </c>
      <c r="EH103" s="8">
        <f t="shared" si="183"/>
        <v>4044.999927520752</v>
      </c>
      <c r="EI103">
        <v>0</v>
      </c>
      <c r="EJ103">
        <v>0</v>
      </c>
      <c r="EK103" s="56">
        <v>40483</v>
      </c>
      <c r="EL103" s="8">
        <f t="shared" si="173"/>
        <v>4376.3523203648565</v>
      </c>
      <c r="FE103" s="56">
        <v>38869</v>
      </c>
      <c r="FF103" s="8" t="e">
        <f>DX103+#REF!+#REF!</f>
        <v>#REF!</v>
      </c>
      <c r="FG103" s="8" t="e">
        <f>#REF!+DY103+#REF!</f>
        <v>#REF!</v>
      </c>
      <c r="FH103" s="8">
        <f t="shared" si="156"/>
        <v>0</v>
      </c>
    </row>
    <row r="104" spans="1:167" x14ac:dyDescent="0.25">
      <c r="A104" t="s">
        <v>124</v>
      </c>
      <c r="B104" s="20">
        <f t="shared" si="168"/>
        <v>10</v>
      </c>
      <c r="C104" s="8">
        <v>116000</v>
      </c>
      <c r="D104" s="8">
        <f t="shared" si="169"/>
        <v>174000</v>
      </c>
      <c r="E104" s="8">
        <f t="shared" si="170"/>
        <v>17400</v>
      </c>
      <c r="F104" s="8"/>
      <c r="AB104">
        <v>2006</v>
      </c>
      <c r="AC104">
        <v>12</v>
      </c>
      <c r="AD104" s="8">
        <v>50369.544638762265</v>
      </c>
      <c r="AE104" s="8">
        <v>0</v>
      </c>
      <c r="AF104" s="8">
        <v>0</v>
      </c>
      <c r="AG104" s="11">
        <v>74.637</v>
      </c>
      <c r="BT104" s="56">
        <v>38869</v>
      </c>
      <c r="BU104" s="8">
        <v>114.39064836502112</v>
      </c>
      <c r="BV104" s="8">
        <v>0</v>
      </c>
      <c r="BW104" s="8">
        <v>0</v>
      </c>
      <c r="CC104" s="58"/>
      <c r="CD104" s="8"/>
      <c r="DW104" s="56">
        <v>38899</v>
      </c>
      <c r="DX104">
        <v>80.604920983314514</v>
      </c>
      <c r="DY104">
        <v>0</v>
      </c>
      <c r="DZ104" s="8">
        <v>56.932771563530011</v>
      </c>
      <c r="EF104" s="56">
        <v>40848</v>
      </c>
      <c r="EG104" s="8">
        <f t="shared" ref="EG104:EH104" si="184">EH15</f>
        <v>50162.686703801155</v>
      </c>
      <c r="EH104" s="8">
        <f t="shared" si="184"/>
        <v>4045.0005648136116</v>
      </c>
      <c r="EI104">
        <v>0</v>
      </c>
      <c r="EJ104">
        <v>1</v>
      </c>
      <c r="EK104" s="56">
        <v>40848</v>
      </c>
      <c r="EL104" s="8">
        <f t="shared" si="173"/>
        <v>8491.3079151253714</v>
      </c>
      <c r="FE104" s="56">
        <v>38899</v>
      </c>
      <c r="FF104" s="8" t="e">
        <f>DX104+#REF!+#REF!</f>
        <v>#REF!</v>
      </c>
      <c r="FG104" s="8" t="e">
        <f>#REF!+DY104+#REF!</f>
        <v>#REF!</v>
      </c>
      <c r="FH104" s="8">
        <f t="shared" si="156"/>
        <v>56.932771563530011</v>
      </c>
    </row>
    <row r="105" spans="1:167" x14ac:dyDescent="0.25">
      <c r="AB105">
        <v>2007</v>
      </c>
      <c r="AC105">
        <v>1</v>
      </c>
      <c r="AD105" s="8">
        <v>50247.456074595459</v>
      </c>
      <c r="AE105" s="8">
        <v>143.46497631073009</v>
      </c>
      <c r="AF105" s="8">
        <v>0</v>
      </c>
      <c r="AG105" s="11">
        <v>74.637</v>
      </c>
      <c r="BT105" s="56">
        <v>38899</v>
      </c>
      <c r="BU105" s="8">
        <v>0</v>
      </c>
      <c r="BV105" s="8">
        <v>0</v>
      </c>
      <c r="BW105" s="8">
        <v>0</v>
      </c>
      <c r="CC105" s="58"/>
      <c r="CD105" s="8"/>
      <c r="DW105" s="56">
        <v>38930</v>
      </c>
      <c r="DX105">
        <v>218.15920893847965</v>
      </c>
      <c r="DY105">
        <v>0</v>
      </c>
      <c r="DZ105" s="8">
        <v>75.938641548156781</v>
      </c>
      <c r="EF105" s="56">
        <v>41214</v>
      </c>
      <c r="EG105" s="8">
        <f t="shared" ref="EG105:EH105" si="185">EH16</f>
        <v>123597.51298454398</v>
      </c>
      <c r="EH105" s="8">
        <f t="shared" si="185"/>
        <v>2027.2375297546362</v>
      </c>
      <c r="EI105">
        <v>0</v>
      </c>
      <c r="EJ105">
        <v>1</v>
      </c>
      <c r="EK105" s="56">
        <v>41214</v>
      </c>
      <c r="EL105" s="8">
        <f t="shared" si="173"/>
        <v>7241.0329103555487</v>
      </c>
      <c r="FE105" s="56">
        <v>38930</v>
      </c>
      <c r="FF105" s="8" t="e">
        <f>DX105+#REF!+#REF!</f>
        <v>#REF!</v>
      </c>
      <c r="FG105" s="8" t="e">
        <f>#REF!+DY105+#REF!</f>
        <v>#REF!</v>
      </c>
      <c r="FH105" s="8">
        <f t="shared" si="156"/>
        <v>75.938641548156781</v>
      </c>
    </row>
    <row r="106" spans="1:167" x14ac:dyDescent="0.25">
      <c r="A106" t="s">
        <v>182</v>
      </c>
      <c r="B106" t="s">
        <v>179</v>
      </c>
      <c r="C106" t="s">
        <v>183</v>
      </c>
      <c r="D106" t="s">
        <v>184</v>
      </c>
      <c r="E106" t="s">
        <v>185</v>
      </c>
      <c r="F106" s="43" t="s">
        <v>70</v>
      </c>
      <c r="G106" t="s">
        <v>186</v>
      </c>
      <c r="H106" t="s">
        <v>187</v>
      </c>
      <c r="I106" t="s">
        <v>188</v>
      </c>
      <c r="J106" t="s">
        <v>189</v>
      </c>
      <c r="K106" t="s">
        <v>190</v>
      </c>
      <c r="L106" t="s">
        <v>191</v>
      </c>
      <c r="M106" t="s">
        <v>192</v>
      </c>
      <c r="AB106">
        <v>2007</v>
      </c>
      <c r="AC106">
        <v>2</v>
      </c>
      <c r="AD106" s="8">
        <v>45606.681116849213</v>
      </c>
      <c r="AE106" s="8">
        <v>1.15224850177765</v>
      </c>
      <c r="AF106" s="8">
        <v>0</v>
      </c>
      <c r="AG106" s="11">
        <v>74.637</v>
      </c>
      <c r="BT106" s="56">
        <v>38930</v>
      </c>
      <c r="BU106" s="8">
        <v>0</v>
      </c>
      <c r="BV106" s="8">
        <v>0</v>
      </c>
      <c r="BW106" s="8">
        <v>0</v>
      </c>
      <c r="DW106" s="56">
        <v>38961</v>
      </c>
      <c r="DX106">
        <v>551.5527634322641</v>
      </c>
      <c r="DY106">
        <v>0</v>
      </c>
      <c r="DZ106" s="8">
        <v>118.52027893066408</v>
      </c>
      <c r="EG106" t="s">
        <v>512</v>
      </c>
      <c r="EH106" t="s">
        <v>511</v>
      </c>
      <c r="EI106" t="s">
        <v>251</v>
      </c>
      <c r="EJ106" t="s">
        <v>250</v>
      </c>
      <c r="FE106" s="56">
        <v>38961</v>
      </c>
      <c r="FF106" s="8" t="e">
        <f>DX106+#REF!+#REF!</f>
        <v>#REF!</v>
      </c>
      <c r="FG106" s="8" t="e">
        <f>#REF!+DY106+#REF!</f>
        <v>#REF!</v>
      </c>
      <c r="FH106" s="8">
        <f t="shared" si="156"/>
        <v>118.52027893066408</v>
      </c>
    </row>
    <row r="107" spans="1:167" x14ac:dyDescent="0.25">
      <c r="A107" t="s">
        <v>176</v>
      </c>
      <c r="B107" s="20">
        <f>B88</f>
        <v>8.1999999999999993</v>
      </c>
      <c r="C107" s="8">
        <v>72631</v>
      </c>
      <c r="D107" s="8">
        <f>C107-10000</f>
        <v>62631</v>
      </c>
      <c r="E107" s="8">
        <f>D107*1.5</f>
        <v>93946.5</v>
      </c>
      <c r="F107" s="8">
        <f>E107/B107</f>
        <v>11456.89024390244</v>
      </c>
      <c r="J107">
        <v>10</v>
      </c>
      <c r="K107" s="11">
        <v>60</v>
      </c>
      <c r="L107">
        <v>4500</v>
      </c>
      <c r="M107" s="8">
        <f t="shared" ref="M107:M108" si="186">F107-L107</f>
        <v>6956.8902439024405</v>
      </c>
      <c r="AB107">
        <v>2007</v>
      </c>
      <c r="AC107">
        <v>3</v>
      </c>
      <c r="AD107" s="8">
        <v>17113.636940062042</v>
      </c>
      <c r="AE107" s="8">
        <v>277.88742327690102</v>
      </c>
      <c r="AF107" s="8">
        <v>0</v>
      </c>
      <c r="AG107" s="11">
        <v>74.637</v>
      </c>
      <c r="AH107" s="11">
        <f>SUM(AD99:AD107)</f>
        <v>193126.78822884901</v>
      </c>
      <c r="AI107" s="11">
        <f>SUM(AE99:AE107)</f>
        <v>442.83332812786085</v>
      </c>
      <c r="BT107" s="56">
        <v>38961</v>
      </c>
      <c r="BU107" s="8">
        <v>62.832945823669661</v>
      </c>
      <c r="BV107" s="8">
        <v>0</v>
      </c>
      <c r="BW107" s="8">
        <v>0</v>
      </c>
      <c r="DW107" s="56">
        <v>38991</v>
      </c>
      <c r="DX107">
        <v>4662.1108818054181</v>
      </c>
      <c r="DY107">
        <v>0</v>
      </c>
      <c r="DZ107" s="8">
        <v>580.91527748107762</v>
      </c>
      <c r="EG107">
        <f t="array" ref="EG107:EJ111">LINEST(EL92:EL105,EG92:EJ105,0,1)</f>
        <v>5234.3689735499111</v>
      </c>
      <c r="EH107">
        <v>7329.4520515675822</v>
      </c>
      <c r="EI107">
        <v>0.1825188944798708</v>
      </c>
      <c r="EJ107">
        <v>2.3914018870805059E-2</v>
      </c>
      <c r="FE107" s="56">
        <v>38991</v>
      </c>
      <c r="FF107" s="8" t="e">
        <f>DX107+#REF!+#REF!</f>
        <v>#REF!</v>
      </c>
      <c r="FG107" s="8" t="e">
        <f>#REF!+DY107+#REF!</f>
        <v>#REF!</v>
      </c>
      <c r="FH107" s="8">
        <f t="shared" si="156"/>
        <v>580.91527748107762</v>
      </c>
    </row>
    <row r="108" spans="1:167" x14ac:dyDescent="0.25">
      <c r="A108" t="s">
        <v>177</v>
      </c>
      <c r="B108" s="20">
        <f t="shared" ref="B108:B123" si="187">B89</f>
        <v>6.8</v>
      </c>
      <c r="C108" s="8">
        <v>81487</v>
      </c>
      <c r="D108" s="8">
        <f>C108-10000</f>
        <v>71487</v>
      </c>
      <c r="E108" s="8">
        <f t="shared" ref="E108:E123" si="188">D108*1.5</f>
        <v>107230.5</v>
      </c>
      <c r="F108" s="8">
        <f t="shared" ref="F108:F123" si="189">E108/B108</f>
        <v>15769.191176470589</v>
      </c>
      <c r="J108">
        <v>100</v>
      </c>
      <c r="K108" s="11">
        <v>10</v>
      </c>
      <c r="L108">
        <v>4500</v>
      </c>
      <c r="M108" s="8">
        <f t="shared" si="186"/>
        <v>11269.191176470589</v>
      </c>
      <c r="AB108">
        <v>2007</v>
      </c>
      <c r="AC108">
        <v>4</v>
      </c>
      <c r="AD108" s="8">
        <v>2311.5118315219879</v>
      </c>
      <c r="AE108" s="8">
        <v>0</v>
      </c>
      <c r="AF108" s="8">
        <v>0</v>
      </c>
      <c r="AG108" s="11">
        <v>74.637</v>
      </c>
      <c r="BT108" s="56">
        <v>38991</v>
      </c>
      <c r="BU108" s="8">
        <v>3181.9976348876939</v>
      </c>
      <c r="BV108" s="8">
        <v>0</v>
      </c>
      <c r="BW108" s="8">
        <v>0</v>
      </c>
      <c r="DW108" s="56">
        <v>39022</v>
      </c>
      <c r="DX108">
        <v>11640.973284244537</v>
      </c>
      <c r="DY108">
        <v>0</v>
      </c>
      <c r="DZ108" s="8">
        <v>1246.0139999389653</v>
      </c>
      <c r="EA108" s="56">
        <f>DW108</f>
        <v>39022</v>
      </c>
      <c r="EB108" s="8">
        <f>SUM(DZ104:DZ112)</f>
        <v>3049.0277241468416</v>
      </c>
      <c r="EC108" s="8">
        <f>SUM(DX104:DX112)</f>
        <v>82581.207894816995</v>
      </c>
      <c r="ED108" s="8">
        <f>SUM(DY104:DY112)</f>
        <v>32.2077445983887</v>
      </c>
      <c r="EG108">
        <v>2018.0942052018379</v>
      </c>
      <c r="EH108">
        <v>1379.9859649306504</v>
      </c>
      <c r="EI108">
        <v>0.33871684656338613</v>
      </c>
      <c r="EJ108">
        <v>1.5190388894917459E-2</v>
      </c>
      <c r="FE108" s="56">
        <v>39022</v>
      </c>
      <c r="FF108" s="8" t="e">
        <f>DX108+#REF!+#REF!</f>
        <v>#REF!</v>
      </c>
      <c r="FG108" s="8" t="e">
        <f>#REF!+DY108+#REF!</f>
        <v>#REF!</v>
      </c>
      <c r="FH108" s="8">
        <f t="shared" si="156"/>
        <v>1246.0139999389653</v>
      </c>
      <c r="FI108" s="8" t="e">
        <f>SUM(FF104:FF112)</f>
        <v>#REF!</v>
      </c>
      <c r="FJ108" s="8" t="e">
        <f>SUM(FG104:FG112)</f>
        <v>#REF!</v>
      </c>
      <c r="FK108" s="8">
        <f>SUM(FH104:FH112)</f>
        <v>3049.0277241468416</v>
      </c>
    </row>
    <row r="109" spans="1:167" x14ac:dyDescent="0.25">
      <c r="A109" t="s">
        <v>105</v>
      </c>
      <c r="B109" s="20">
        <f t="shared" si="187"/>
        <v>6</v>
      </c>
      <c r="C109" s="8">
        <v>91783</v>
      </c>
      <c r="D109" s="8">
        <f>C109-10000</f>
        <v>81783</v>
      </c>
      <c r="E109" s="8">
        <f t="shared" si="188"/>
        <v>122674.5</v>
      </c>
      <c r="F109" s="8">
        <f t="shared" si="189"/>
        <v>20445.75</v>
      </c>
      <c r="G109" s="42">
        <v>40000</v>
      </c>
      <c r="H109" s="11">
        <f>L4+M4+B5+C5</f>
        <v>257.58940428298041</v>
      </c>
      <c r="I109" s="41">
        <v>9</v>
      </c>
      <c r="J109">
        <v>100</v>
      </c>
      <c r="K109" s="11">
        <v>0</v>
      </c>
      <c r="L109" s="8">
        <f>G109/I109</f>
        <v>4444.4444444444443</v>
      </c>
      <c r="M109" s="8">
        <f>F109-L109</f>
        <v>16001.305555555555</v>
      </c>
      <c r="AB109">
        <v>2007</v>
      </c>
      <c r="AC109">
        <v>5</v>
      </c>
      <c r="AD109" s="8">
        <v>28.381412625312763</v>
      </c>
      <c r="AE109" s="8">
        <v>484.96043205261196</v>
      </c>
      <c r="AF109" s="8">
        <v>0</v>
      </c>
      <c r="AG109" s="11">
        <v>74.637</v>
      </c>
      <c r="BT109" s="56">
        <v>39022</v>
      </c>
      <c r="BU109" s="8">
        <v>13784.046976089478</v>
      </c>
      <c r="BV109" s="8">
        <v>0</v>
      </c>
      <c r="BW109" s="8">
        <v>0</v>
      </c>
      <c r="BX109" s="8">
        <f>SUM(BW105:BW113)</f>
        <v>0</v>
      </c>
      <c r="BY109" s="8">
        <f>SUM(BU105:BU113)</f>
        <v>114687.49063205728</v>
      </c>
      <c r="BZ109" s="8">
        <f>SUM(BV97:BV108)</f>
        <v>7023.1358489990198</v>
      </c>
      <c r="DW109" s="56">
        <v>39052</v>
      </c>
      <c r="DX109">
        <v>19367.344038009644</v>
      </c>
      <c r="DY109">
        <v>0</v>
      </c>
      <c r="DZ109" s="8">
        <v>970.70675468444779</v>
      </c>
      <c r="EG109">
        <v>0.89373811464782549</v>
      </c>
      <c r="EH109">
        <v>2343.6231388825076</v>
      </c>
      <c r="EI109" t="e">
        <v>#N/A</v>
      </c>
      <c r="EJ109" t="e">
        <v>#N/A</v>
      </c>
      <c r="FE109" s="56">
        <v>39052</v>
      </c>
      <c r="FF109" s="8" t="e">
        <f>DX109+#REF!+#REF!</f>
        <v>#REF!</v>
      </c>
      <c r="FG109" s="8" t="e">
        <f>#REF!+DY109+#REF!</f>
        <v>#REF!</v>
      </c>
      <c r="FH109" s="8">
        <f t="shared" si="156"/>
        <v>970.70675468444779</v>
      </c>
    </row>
    <row r="110" spans="1:167" x14ac:dyDescent="0.25">
      <c r="A110" t="s">
        <v>106</v>
      </c>
      <c r="B110" s="20">
        <f t="shared" si="187"/>
        <v>7.1228214285714282</v>
      </c>
      <c r="C110" s="8">
        <v>105294</v>
      </c>
      <c r="D110" s="8">
        <f>C110-15000</f>
        <v>90294</v>
      </c>
      <c r="E110" s="8">
        <f t="shared" si="188"/>
        <v>135441</v>
      </c>
      <c r="F110" s="8">
        <f t="shared" si="189"/>
        <v>19015.077291803511</v>
      </c>
      <c r="G110" s="42">
        <v>40000</v>
      </c>
      <c r="H110" s="11">
        <f t="shared" ref="H110:H115" si="190">L5+M5+B6+C6</f>
        <v>220.69867539090035</v>
      </c>
      <c r="I110" s="41">
        <v>9</v>
      </c>
      <c r="J110">
        <v>100</v>
      </c>
      <c r="K110" s="11">
        <v>79</v>
      </c>
      <c r="L110" s="8">
        <f t="shared" ref="L110:L116" si="191">G110/I110</f>
        <v>4444.4444444444443</v>
      </c>
      <c r="M110" s="8">
        <f t="shared" ref="M110:M123" si="192">F110-L110</f>
        <v>14570.632847359066</v>
      </c>
      <c r="AB110">
        <v>2007</v>
      </c>
      <c r="AC110">
        <v>6</v>
      </c>
      <c r="AD110" s="8">
        <v>0</v>
      </c>
      <c r="AE110" s="8">
        <v>16193.029144287117</v>
      </c>
      <c r="AF110" s="8">
        <v>0</v>
      </c>
      <c r="AG110" s="11">
        <v>74.637</v>
      </c>
      <c r="BT110" s="56">
        <v>39052</v>
      </c>
      <c r="BU110" s="8">
        <v>24017.774612426761</v>
      </c>
      <c r="BV110" s="8">
        <v>0</v>
      </c>
      <c r="BW110" s="8">
        <v>0</v>
      </c>
      <c r="DW110" s="56">
        <v>39083</v>
      </c>
      <c r="DX110">
        <v>21865.853424310681</v>
      </c>
      <c r="DY110">
        <v>0</v>
      </c>
      <c r="DZ110" s="8">
        <v>0</v>
      </c>
      <c r="EG110">
        <v>21.026780008791182</v>
      </c>
      <c r="EH110">
        <v>10</v>
      </c>
      <c r="EI110" t="e">
        <v>#N/A</v>
      </c>
      <c r="EJ110" t="e">
        <v>#N/A</v>
      </c>
      <c r="FE110" s="56">
        <v>39083</v>
      </c>
      <c r="FF110" s="8" t="e">
        <f>DX110+#REF!+#REF!</f>
        <v>#REF!</v>
      </c>
      <c r="FG110" s="8" t="e">
        <f>#REF!+DY110+#REF!</f>
        <v>#REF!</v>
      </c>
      <c r="FH110" s="8">
        <f t="shared" si="156"/>
        <v>0</v>
      </c>
    </row>
    <row r="111" spans="1:167" x14ac:dyDescent="0.25">
      <c r="A111" t="s">
        <v>107</v>
      </c>
      <c r="B111" s="20">
        <f t="shared" si="187"/>
        <v>8.1999999999999993</v>
      </c>
      <c r="C111" s="8">
        <v>119020</v>
      </c>
      <c r="D111" s="8">
        <f>C111-15000</f>
        <v>104020</v>
      </c>
      <c r="E111" s="8">
        <f t="shared" si="188"/>
        <v>156030</v>
      </c>
      <c r="F111" s="8">
        <f t="shared" si="189"/>
        <v>19028.048780487807</v>
      </c>
      <c r="G111" s="42">
        <v>40000</v>
      </c>
      <c r="H111" s="11">
        <f t="shared" si="190"/>
        <v>157.79337731201127</v>
      </c>
      <c r="I111" s="41">
        <v>9</v>
      </c>
      <c r="J111">
        <v>80</v>
      </c>
      <c r="K111" s="11">
        <v>51</v>
      </c>
      <c r="L111" s="8">
        <f t="shared" si="191"/>
        <v>4444.4444444444443</v>
      </c>
      <c r="M111" s="8">
        <f t="shared" si="192"/>
        <v>14583.604336043361</v>
      </c>
      <c r="AB111">
        <v>2007</v>
      </c>
      <c r="AC111">
        <v>7</v>
      </c>
      <c r="AD111" s="8">
        <v>148.16633462905872</v>
      </c>
      <c r="AE111" s="8">
        <v>475.7056999802586</v>
      </c>
      <c r="AF111" s="8">
        <v>0</v>
      </c>
      <c r="AG111" s="11">
        <v>12.295</v>
      </c>
      <c r="BT111" s="56">
        <v>39083</v>
      </c>
      <c r="BU111" s="8">
        <v>27147.493072509846</v>
      </c>
      <c r="BV111" s="8">
        <v>0</v>
      </c>
      <c r="BW111" s="8">
        <v>0</v>
      </c>
      <c r="DW111" s="56">
        <v>39114</v>
      </c>
      <c r="DX111">
        <v>18367.709902763367</v>
      </c>
      <c r="DY111">
        <v>0</v>
      </c>
      <c r="DZ111" s="8">
        <v>0</v>
      </c>
      <c r="EG111">
        <v>461964195.26596677</v>
      </c>
      <c r="EH111">
        <v>54925694.171054967</v>
      </c>
      <c r="EI111" t="e">
        <v>#N/A</v>
      </c>
      <c r="EJ111" t="e">
        <v>#N/A</v>
      </c>
      <c r="FE111" s="56">
        <v>39114</v>
      </c>
      <c r="FF111" s="8" t="e">
        <f>DX111+#REF!+#REF!</f>
        <v>#REF!</v>
      </c>
      <c r="FG111" s="8" t="e">
        <f>#REF!+DY111+#REF!</f>
        <v>#REF!</v>
      </c>
      <c r="FH111" s="8">
        <f t="shared" si="156"/>
        <v>0</v>
      </c>
    </row>
    <row r="112" spans="1:167" x14ac:dyDescent="0.25">
      <c r="A112" t="s">
        <v>108</v>
      </c>
      <c r="B112" s="20">
        <f t="shared" si="187"/>
        <v>7.8</v>
      </c>
      <c r="C112" s="8">
        <v>65146</v>
      </c>
      <c r="D112" s="8">
        <f>C112-10000</f>
        <v>55146</v>
      </c>
      <c r="E112" s="8">
        <f t="shared" si="188"/>
        <v>82719</v>
      </c>
      <c r="F112" s="8">
        <f t="shared" si="189"/>
        <v>10605</v>
      </c>
      <c r="G112" s="42">
        <v>40000</v>
      </c>
      <c r="H112" s="11">
        <f t="shared" si="190"/>
        <v>108.61258278145695</v>
      </c>
      <c r="I112" s="41">
        <v>9</v>
      </c>
      <c r="J112">
        <v>0</v>
      </c>
      <c r="K112" s="11">
        <v>59</v>
      </c>
      <c r="L112" s="8">
        <f t="shared" si="191"/>
        <v>4444.4444444444443</v>
      </c>
      <c r="M112" s="8">
        <f t="shared" si="192"/>
        <v>6160.5555555555557</v>
      </c>
      <c r="AB112">
        <v>2007</v>
      </c>
      <c r="AC112">
        <v>8</v>
      </c>
      <c r="AD112" s="8">
        <v>533.57464623451358</v>
      </c>
      <c r="AE112" s="8">
        <v>0</v>
      </c>
      <c r="AF112" s="8">
        <v>0</v>
      </c>
      <c r="AG112" s="11">
        <v>16.295000000000002</v>
      </c>
      <c r="BT112" s="56">
        <v>39114</v>
      </c>
      <c r="BU112" s="8">
        <v>26542.220748901364</v>
      </c>
      <c r="BV112" s="8">
        <v>61.279380798339801</v>
      </c>
      <c r="BW112" s="8">
        <v>0</v>
      </c>
      <c r="DW112" s="56">
        <v>39142</v>
      </c>
      <c r="DX112">
        <v>5826.8994703292847</v>
      </c>
      <c r="DY112">
        <v>32.2077445983887</v>
      </c>
      <c r="DZ112" s="8">
        <v>0</v>
      </c>
      <c r="FE112" s="56">
        <v>39142</v>
      </c>
      <c r="FF112" s="8" t="e">
        <f>DX112+#REF!+#REF!</f>
        <v>#REF!</v>
      </c>
      <c r="FG112" s="8" t="e">
        <f>#REF!+DY112+#REF!</f>
        <v>#REF!</v>
      </c>
      <c r="FH112" s="8">
        <f t="shared" si="156"/>
        <v>0</v>
      </c>
    </row>
    <row r="113" spans="1:167" x14ac:dyDescent="0.25">
      <c r="A113" t="s">
        <v>109</v>
      </c>
      <c r="B113" s="20">
        <f t="shared" si="187"/>
        <v>8.96875</v>
      </c>
      <c r="C113" s="8">
        <v>37565</v>
      </c>
      <c r="D113" s="8">
        <f>C113-5000</f>
        <v>32565</v>
      </c>
      <c r="E113" s="8">
        <f t="shared" si="188"/>
        <v>48847.5</v>
      </c>
      <c r="F113" s="8">
        <f t="shared" si="189"/>
        <v>5446.4111498257844</v>
      </c>
      <c r="G113" s="42">
        <v>40000</v>
      </c>
      <c r="H113" s="11">
        <f t="shared" si="190"/>
        <v>154.23708599608466</v>
      </c>
      <c r="I113" s="41">
        <v>9</v>
      </c>
      <c r="J113">
        <v>19</v>
      </c>
      <c r="K113" s="11">
        <v>4</v>
      </c>
      <c r="L113" s="8">
        <f t="shared" si="191"/>
        <v>4444.4444444444443</v>
      </c>
      <c r="M113" s="8">
        <f t="shared" si="192"/>
        <v>1001.96670538134</v>
      </c>
      <c r="AB113">
        <v>2007</v>
      </c>
      <c r="AC113">
        <v>9</v>
      </c>
      <c r="AD113" s="8">
        <v>940.00758635997761</v>
      </c>
      <c r="AE113" s="8">
        <v>0</v>
      </c>
      <c r="AF113" s="8">
        <v>0</v>
      </c>
      <c r="AG113" s="11">
        <v>16.295000000000002</v>
      </c>
      <c r="AH113" s="11"/>
      <c r="AI113" s="11"/>
      <c r="BT113" s="56">
        <v>39142</v>
      </c>
      <c r="BU113" s="8">
        <v>19951.124641418461</v>
      </c>
      <c r="BV113" s="8">
        <v>77.984639167785602</v>
      </c>
      <c r="BW113" s="8">
        <v>0</v>
      </c>
      <c r="DW113" s="56">
        <v>39173</v>
      </c>
      <c r="DX113">
        <v>233.63365554809565</v>
      </c>
      <c r="DY113">
        <v>0</v>
      </c>
      <c r="DZ113" s="8">
        <v>0</v>
      </c>
      <c r="FE113" s="56">
        <v>39173</v>
      </c>
      <c r="FF113" s="8" t="e">
        <f>DX113+#REF!+#REF!</f>
        <v>#REF!</v>
      </c>
      <c r="FG113" s="8" t="e">
        <f>#REF!+DY113+#REF!</f>
        <v>#REF!</v>
      </c>
      <c r="FH113" s="8">
        <f t="shared" si="156"/>
        <v>0</v>
      </c>
    </row>
    <row r="114" spans="1:167" x14ac:dyDescent="0.25">
      <c r="A114" t="s">
        <v>110</v>
      </c>
      <c r="B114" s="20">
        <f t="shared" si="187"/>
        <v>9.1428571428571423</v>
      </c>
      <c r="C114" s="8">
        <v>44208</v>
      </c>
      <c r="D114" s="8">
        <f>C114-5000</f>
        <v>39208</v>
      </c>
      <c r="E114" s="8">
        <f t="shared" si="188"/>
        <v>58812</v>
      </c>
      <c r="F114" s="8">
        <f t="shared" si="189"/>
        <v>6432.5625</v>
      </c>
      <c r="G114" s="42">
        <v>40000</v>
      </c>
      <c r="H114" s="11">
        <f t="shared" si="190"/>
        <v>152.08940397350995</v>
      </c>
      <c r="I114" s="41">
        <v>9</v>
      </c>
      <c r="J114">
        <v>7</v>
      </c>
      <c r="K114" s="11">
        <v>2.4</v>
      </c>
      <c r="L114" s="8">
        <f t="shared" si="191"/>
        <v>4444.4444444444443</v>
      </c>
      <c r="M114" s="8">
        <f t="shared" si="192"/>
        <v>1988.1180555555557</v>
      </c>
      <c r="AB114">
        <v>2007</v>
      </c>
      <c r="AC114">
        <v>10</v>
      </c>
      <c r="AD114" s="8">
        <v>6317.2585391253251</v>
      </c>
      <c r="AE114" s="8">
        <v>0</v>
      </c>
      <c r="AF114" s="8">
        <v>0</v>
      </c>
      <c r="AG114" s="11">
        <v>16.295000000000002</v>
      </c>
      <c r="AH114" s="11"/>
      <c r="AI114" s="11"/>
      <c r="BT114" s="56">
        <v>39173</v>
      </c>
      <c r="BU114" s="8">
        <v>3862.5784225463872</v>
      </c>
      <c r="BV114" s="8">
        <v>0</v>
      </c>
      <c r="BW114" s="8">
        <v>0</v>
      </c>
      <c r="DW114" s="56">
        <v>39203</v>
      </c>
      <c r="DX114">
        <v>53.792716979980476</v>
      </c>
      <c r="DY114">
        <v>0</v>
      </c>
      <c r="DZ114" s="8">
        <v>0</v>
      </c>
      <c r="FE114" s="56">
        <v>39203</v>
      </c>
      <c r="FF114" s="8" t="e">
        <f>DX114+#REF!+#REF!</f>
        <v>#REF!</v>
      </c>
      <c r="FG114" s="8" t="e">
        <f>#REF!+DY114+#REF!</f>
        <v>#REF!</v>
      </c>
      <c r="FH114" s="8">
        <f t="shared" si="156"/>
        <v>0</v>
      </c>
    </row>
    <row r="115" spans="1:167" x14ac:dyDescent="0.25">
      <c r="A115" t="s">
        <v>111</v>
      </c>
      <c r="B115" s="20">
        <f t="shared" si="187"/>
        <v>9.75</v>
      </c>
      <c r="C115" s="8">
        <v>53658</v>
      </c>
      <c r="D115" s="8">
        <f>C115-5000</f>
        <v>48658</v>
      </c>
      <c r="E115" s="8">
        <f t="shared" si="188"/>
        <v>72987</v>
      </c>
      <c r="F115" s="8">
        <f t="shared" si="189"/>
        <v>7485.8461538461543</v>
      </c>
      <c r="G115" s="42">
        <v>40000</v>
      </c>
      <c r="H115" s="11">
        <f t="shared" si="190"/>
        <v>109.42615889950304</v>
      </c>
      <c r="I115" s="41">
        <v>9</v>
      </c>
      <c r="J115" s="44">
        <v>42</v>
      </c>
      <c r="K115" s="11">
        <v>7.2</v>
      </c>
      <c r="L115" s="8">
        <f t="shared" si="191"/>
        <v>4444.4444444444443</v>
      </c>
      <c r="M115" s="8">
        <f t="shared" si="192"/>
        <v>3041.4017094017099</v>
      </c>
      <c r="O115" t="s">
        <v>296</v>
      </c>
      <c r="AB115">
        <v>2007</v>
      </c>
      <c r="AC115">
        <v>11</v>
      </c>
      <c r="AD115" s="8">
        <v>2804.3372177183637</v>
      </c>
      <c r="AE115" s="8">
        <v>2.6474562883377057</v>
      </c>
      <c r="AF115" s="8">
        <v>0</v>
      </c>
      <c r="AG115" s="11">
        <v>16.295000000000002</v>
      </c>
      <c r="AH115" s="11"/>
      <c r="AI115" s="11"/>
      <c r="BT115" s="56">
        <v>39203</v>
      </c>
      <c r="BU115" s="8">
        <v>0</v>
      </c>
      <c r="BV115" s="8">
        <v>0</v>
      </c>
      <c r="BW115" s="8">
        <v>0</v>
      </c>
      <c r="DW115" s="56">
        <v>39234</v>
      </c>
      <c r="DX115">
        <v>0</v>
      </c>
      <c r="DY115">
        <v>2158.721015930179</v>
      </c>
      <c r="DZ115" s="8">
        <v>0</v>
      </c>
      <c r="FE115" s="56">
        <v>39234</v>
      </c>
      <c r="FF115" s="8" t="e">
        <f>DX115+#REF!+#REF!</f>
        <v>#REF!</v>
      </c>
      <c r="FG115" s="8" t="e">
        <f>#REF!+DY115+#REF!</f>
        <v>#REF!</v>
      </c>
      <c r="FH115" s="8">
        <f t="shared" si="156"/>
        <v>0</v>
      </c>
    </row>
    <row r="116" spans="1:167" x14ac:dyDescent="0.25">
      <c r="A116" t="s">
        <v>112</v>
      </c>
      <c r="B116" s="20">
        <f t="shared" si="187"/>
        <v>9.7122302158273381</v>
      </c>
      <c r="C116" s="8">
        <v>46682</v>
      </c>
      <c r="D116" s="8">
        <f>C116-5000</f>
        <v>41682</v>
      </c>
      <c r="E116" s="8">
        <f t="shared" si="188"/>
        <v>62523</v>
      </c>
      <c r="F116" s="8">
        <f t="shared" si="189"/>
        <v>6437.5533333333333</v>
      </c>
      <c r="G116" s="8">
        <v>41800</v>
      </c>
      <c r="H116" s="11">
        <f>L11+M11+B12+C12</f>
        <v>162.6652317141855</v>
      </c>
      <c r="I116" s="41">
        <v>9</v>
      </c>
      <c r="J116">
        <v>0</v>
      </c>
      <c r="K116" s="11">
        <v>29.5</v>
      </c>
      <c r="L116" s="8">
        <f t="shared" si="191"/>
        <v>4644.4444444444443</v>
      </c>
      <c r="M116" s="8">
        <f t="shared" si="192"/>
        <v>1793.1088888888889</v>
      </c>
      <c r="AB116">
        <v>2007</v>
      </c>
      <c r="AC116">
        <v>12</v>
      </c>
      <c r="AD116" s="8">
        <v>13709.726512998339</v>
      </c>
      <c r="AE116" s="8">
        <v>2500.0508003234877</v>
      </c>
      <c r="AF116" s="8">
        <v>0</v>
      </c>
      <c r="AG116" s="11">
        <v>16.295000000000002</v>
      </c>
      <c r="BT116" s="56">
        <v>39234</v>
      </c>
      <c r="BU116" s="8">
        <v>0</v>
      </c>
      <c r="BV116" s="8">
        <v>10544.044252395634</v>
      </c>
      <c r="BW116" s="8">
        <v>0</v>
      </c>
      <c r="DW116" s="56">
        <v>39264</v>
      </c>
      <c r="DX116">
        <v>387.8624877929679</v>
      </c>
      <c r="DY116">
        <v>0</v>
      </c>
      <c r="DZ116" s="8">
        <v>56.932771563530011</v>
      </c>
      <c r="FE116" s="56">
        <v>39264</v>
      </c>
      <c r="FF116" s="8" t="e">
        <f>DX116+#REF!+#REF!</f>
        <v>#REF!</v>
      </c>
      <c r="FG116" s="8" t="e">
        <f>#REF!+DY116+#REF!</f>
        <v>#REF!</v>
      </c>
      <c r="FH116" s="8">
        <f t="shared" si="156"/>
        <v>56.932771563530011</v>
      </c>
    </row>
    <row r="117" spans="1:167" x14ac:dyDescent="0.25">
      <c r="A117" t="s">
        <v>113</v>
      </c>
      <c r="B117" s="20">
        <f t="shared" si="187"/>
        <v>9.5015576323987538</v>
      </c>
      <c r="C117" s="8">
        <v>24154</v>
      </c>
      <c r="D117" s="8">
        <f>C117</f>
        <v>24154</v>
      </c>
      <c r="E117" s="8">
        <f t="shared" si="188"/>
        <v>36231</v>
      </c>
      <c r="F117" s="8">
        <f t="shared" si="189"/>
        <v>3813.1642622950822</v>
      </c>
      <c r="G117" s="8">
        <v>40400</v>
      </c>
      <c r="H117" s="11">
        <f t="shared" ref="H117:H123" si="193">L12+M12+B13+C13</f>
        <v>396.29801324503308</v>
      </c>
      <c r="I117" s="20">
        <f>G117/F117</f>
        <v>10.594875337388139</v>
      </c>
      <c r="J117">
        <v>2</v>
      </c>
      <c r="K117" s="11">
        <v>2.4</v>
      </c>
      <c r="L117" s="8">
        <f>F117</f>
        <v>3813.1642622950822</v>
      </c>
      <c r="M117" s="8">
        <f t="shared" si="192"/>
        <v>0</v>
      </c>
      <c r="AB117">
        <v>2008</v>
      </c>
      <c r="AC117">
        <v>1</v>
      </c>
      <c r="AD117" s="8">
        <v>22485.345739908058</v>
      </c>
      <c r="AE117" s="8">
        <v>0</v>
      </c>
      <c r="AF117" s="8">
        <v>0</v>
      </c>
      <c r="AG117" s="11">
        <v>28.295000000000002</v>
      </c>
      <c r="BT117" s="56">
        <v>39264</v>
      </c>
      <c r="BU117" s="8">
        <v>0</v>
      </c>
      <c r="BV117" s="8">
        <v>0</v>
      </c>
      <c r="BW117" s="8">
        <v>0</v>
      </c>
      <c r="DW117" s="56">
        <v>39295</v>
      </c>
      <c r="DX117">
        <v>250.30913162231445</v>
      </c>
      <c r="DY117">
        <v>0</v>
      </c>
      <c r="DZ117" s="8">
        <v>75.938641548156781</v>
      </c>
      <c r="FE117" s="56">
        <v>39295</v>
      </c>
      <c r="FF117" s="8" t="e">
        <f>DX117+#REF!+#REF!</f>
        <v>#REF!</v>
      </c>
      <c r="FG117" s="8" t="e">
        <f>#REF!+DY117+#REF!</f>
        <v>#REF!</v>
      </c>
      <c r="FH117" s="8">
        <f t="shared" si="156"/>
        <v>75.938641548156781</v>
      </c>
    </row>
    <row r="118" spans="1:167" x14ac:dyDescent="0.25">
      <c r="A118" t="s">
        <v>114</v>
      </c>
      <c r="B118" s="20">
        <f t="shared" si="187"/>
        <v>9.0361445783132535</v>
      </c>
      <c r="C118" s="8">
        <v>18376</v>
      </c>
      <c r="D118" s="8">
        <f>C118</f>
        <v>18376</v>
      </c>
      <c r="E118" s="8">
        <f t="shared" si="188"/>
        <v>27564</v>
      </c>
      <c r="F118" s="8">
        <f t="shared" si="189"/>
        <v>3050.4159999999997</v>
      </c>
      <c r="G118" s="8">
        <v>42469</v>
      </c>
      <c r="H118" s="11">
        <f t="shared" si="193"/>
        <v>270.55794701355182</v>
      </c>
      <c r="I118" s="20">
        <f t="shared" ref="I118:I119" si="194">G118/F118</f>
        <v>13.922363376011667</v>
      </c>
      <c r="J118">
        <v>8</v>
      </c>
      <c r="K118" s="11">
        <v>6.6</v>
      </c>
      <c r="L118" s="8">
        <f t="shared" ref="L118:L119" si="195">F118</f>
        <v>3050.4159999999997</v>
      </c>
      <c r="M118" s="8">
        <f t="shared" si="192"/>
        <v>0</v>
      </c>
      <c r="AB118">
        <v>2008</v>
      </c>
      <c r="AC118">
        <v>2</v>
      </c>
      <c r="AD118" s="8">
        <v>7726.1959442794396</v>
      </c>
      <c r="AE118" s="8">
        <v>0</v>
      </c>
      <c r="AF118" s="8">
        <v>0</v>
      </c>
      <c r="AG118" s="11">
        <v>31.295000000000002</v>
      </c>
      <c r="BT118" s="56">
        <v>39295</v>
      </c>
      <c r="BU118" s="8">
        <v>0</v>
      </c>
      <c r="BV118" s="8">
        <v>0</v>
      </c>
      <c r="BW118" s="8">
        <v>0</v>
      </c>
      <c r="DW118" s="56">
        <v>39326</v>
      </c>
      <c r="DX118">
        <v>6.5389289855957005</v>
      </c>
      <c r="DY118">
        <v>0</v>
      </c>
      <c r="DZ118" s="8">
        <v>118.52027893066408</v>
      </c>
      <c r="FE118" s="56">
        <v>39326</v>
      </c>
      <c r="FF118" s="8" t="e">
        <f>DX118+#REF!+#REF!</f>
        <v>#REF!</v>
      </c>
      <c r="FG118" s="8" t="e">
        <f>#REF!+DY118+#REF!</f>
        <v>#REF!</v>
      </c>
      <c r="FH118" s="8">
        <f t="shared" si="156"/>
        <v>118.52027893066408</v>
      </c>
    </row>
    <row r="119" spans="1:167" x14ac:dyDescent="0.25">
      <c r="A119" t="s">
        <v>115</v>
      </c>
      <c r="B119" s="20">
        <f t="shared" si="187"/>
        <v>9.75</v>
      </c>
      <c r="C119" s="8">
        <v>22025</v>
      </c>
      <c r="D119" s="8">
        <f>C119</f>
        <v>22025</v>
      </c>
      <c r="E119" s="8">
        <f t="shared" si="188"/>
        <v>33037.5</v>
      </c>
      <c r="F119" s="8">
        <f t="shared" si="189"/>
        <v>3388.4615384615386</v>
      </c>
      <c r="G119" s="8">
        <v>36280</v>
      </c>
      <c r="H119" s="11">
        <f t="shared" si="193"/>
        <v>333.76622547692807</v>
      </c>
      <c r="I119" s="20">
        <f t="shared" si="194"/>
        <v>10.706923950056753</v>
      </c>
      <c r="J119">
        <v>0</v>
      </c>
      <c r="K119" s="11">
        <v>11.2</v>
      </c>
      <c r="L119" s="8">
        <f t="shared" si="195"/>
        <v>3388.4615384615386</v>
      </c>
      <c r="M119" s="8">
        <f t="shared" si="192"/>
        <v>0</v>
      </c>
      <c r="AB119">
        <v>2008</v>
      </c>
      <c r="AC119">
        <v>3</v>
      </c>
      <c r="AD119" s="8">
        <v>4238.4840915710665</v>
      </c>
      <c r="AE119" s="8">
        <v>0</v>
      </c>
      <c r="AF119" s="8">
        <v>0</v>
      </c>
      <c r="AG119" s="11">
        <v>32.295000000000002</v>
      </c>
      <c r="AH119" s="11">
        <f>SUM(AD111:AD119)</f>
        <v>58903.096612824142</v>
      </c>
      <c r="AI119" s="11">
        <f>SUM(AE111:AE119)</f>
        <v>2978.4039565920839</v>
      </c>
      <c r="BT119" s="56">
        <v>39326</v>
      </c>
      <c r="BU119" s="8">
        <v>0</v>
      </c>
      <c r="BV119" s="8">
        <v>0</v>
      </c>
      <c r="BW119" s="8">
        <v>0</v>
      </c>
      <c r="DW119" s="56">
        <v>39356</v>
      </c>
      <c r="DX119">
        <v>2780.5754708051759</v>
      </c>
      <c r="DY119">
        <v>0</v>
      </c>
      <c r="DZ119" s="8">
        <v>580.91527748107762</v>
      </c>
      <c r="FE119" s="56">
        <v>39356</v>
      </c>
      <c r="FF119" s="8" t="e">
        <f>DX119+#REF!+#REF!</f>
        <v>#REF!</v>
      </c>
      <c r="FG119" s="8" t="e">
        <f>#REF!+DY119+#REF!</f>
        <v>#REF!</v>
      </c>
      <c r="FH119" s="8">
        <f t="shared" si="156"/>
        <v>580.91527748107762</v>
      </c>
    </row>
    <row r="120" spans="1:167" x14ac:dyDescent="0.25">
      <c r="A120" t="s">
        <v>116</v>
      </c>
      <c r="B120" s="20">
        <f t="shared" si="187"/>
        <v>9.3000000000000007</v>
      </c>
      <c r="C120" s="8">
        <v>78807</v>
      </c>
      <c r="D120" s="8">
        <f>C120-10000</f>
        <v>68807</v>
      </c>
      <c r="E120" s="8">
        <f t="shared" si="188"/>
        <v>103210.5</v>
      </c>
      <c r="F120" s="8">
        <f t="shared" si="189"/>
        <v>11097.903225806451</v>
      </c>
      <c r="G120" s="8">
        <v>12540</v>
      </c>
      <c r="H120" s="11">
        <f t="shared" si="193"/>
        <v>374.29139093689571</v>
      </c>
      <c r="I120" s="41">
        <v>9</v>
      </c>
      <c r="J120">
        <v>100</v>
      </c>
      <c r="K120" s="11">
        <v>5.2</v>
      </c>
      <c r="L120" s="8">
        <f>L109</f>
        <v>4444.4444444444443</v>
      </c>
      <c r="M120" s="8">
        <f t="shared" si="192"/>
        <v>6653.4587813620064</v>
      </c>
      <c r="AB120">
        <v>2008</v>
      </c>
      <c r="AC120">
        <v>4</v>
      </c>
      <c r="AD120" s="8">
        <v>283.57120090723038</v>
      </c>
      <c r="AE120" s="8">
        <v>0</v>
      </c>
      <c r="AF120" s="8">
        <v>0</v>
      </c>
      <c r="AG120" s="11">
        <v>33.295000000000002</v>
      </c>
      <c r="BT120" s="56">
        <v>39356</v>
      </c>
      <c r="BU120" s="8">
        <v>0</v>
      </c>
      <c r="BV120" s="8">
        <v>0</v>
      </c>
      <c r="BW120" s="8">
        <v>0</v>
      </c>
      <c r="DW120" s="56">
        <v>39387</v>
      </c>
      <c r="DX120">
        <v>1436.1544202212226</v>
      </c>
      <c r="DY120">
        <v>0</v>
      </c>
      <c r="DZ120" s="8">
        <v>581.47033739089966</v>
      </c>
      <c r="EA120" s="56">
        <f>DW120</f>
        <v>39387</v>
      </c>
      <c r="EB120" s="8">
        <f>SUM(DZ116:DZ124)</f>
        <v>3049.0338538885094</v>
      </c>
      <c r="EC120" s="8">
        <f>SUM(DX116:DX124)</f>
        <v>22336.865472311161</v>
      </c>
      <c r="ED120" s="8">
        <f>SUM(DY116:DY124)</f>
        <v>1517.1460266113306</v>
      </c>
      <c r="FE120" s="56">
        <v>39387</v>
      </c>
      <c r="FF120" s="8" t="e">
        <f>DX120+#REF!+#REF!</f>
        <v>#REF!</v>
      </c>
      <c r="FG120" s="8" t="e">
        <f>#REF!+DY120+#REF!</f>
        <v>#REF!</v>
      </c>
      <c r="FH120" s="8">
        <f t="shared" si="156"/>
        <v>581.47033739089966</v>
      </c>
      <c r="FI120" s="8" t="e">
        <f>SUM(FF116:FF124)</f>
        <v>#REF!</v>
      </c>
      <c r="FJ120" s="8" t="e">
        <f>SUM(FG116:FG124)</f>
        <v>#REF!</v>
      </c>
      <c r="FK120" s="8">
        <f>SUM(FH116:FH124)</f>
        <v>3049.0338538885094</v>
      </c>
    </row>
    <row r="121" spans="1:167" x14ac:dyDescent="0.25">
      <c r="A121" t="s">
        <v>117</v>
      </c>
      <c r="B121" s="20">
        <f t="shared" si="187"/>
        <v>11</v>
      </c>
      <c r="C121" s="8">
        <v>192121</v>
      </c>
      <c r="D121" s="8">
        <f>C121-30000</f>
        <v>162121</v>
      </c>
      <c r="E121" s="8">
        <f t="shared" si="188"/>
        <v>243181.5</v>
      </c>
      <c r="F121" s="8">
        <f t="shared" si="189"/>
        <v>22107.409090909092</v>
      </c>
      <c r="G121" s="8">
        <v>17940</v>
      </c>
      <c r="H121" s="11">
        <f t="shared" si="193"/>
        <v>367.99072803724681</v>
      </c>
      <c r="I121" s="41">
        <v>9</v>
      </c>
      <c r="J121">
        <v>49</v>
      </c>
      <c r="K121" s="11">
        <v>80.400000000000006</v>
      </c>
      <c r="L121" s="8">
        <f t="shared" ref="L121:L123" si="196">L110</f>
        <v>4444.4444444444443</v>
      </c>
      <c r="M121" s="8">
        <f t="shared" si="192"/>
        <v>17662.964646464647</v>
      </c>
      <c r="AB121">
        <v>2008</v>
      </c>
      <c r="AC121">
        <v>5</v>
      </c>
      <c r="AD121" s="8">
        <v>32.651246666908278</v>
      </c>
      <c r="AE121" s="8">
        <v>0</v>
      </c>
      <c r="AF121" s="8">
        <v>0</v>
      </c>
      <c r="AG121" s="11">
        <v>33.295000000000002</v>
      </c>
      <c r="BT121" s="56">
        <v>39387</v>
      </c>
      <c r="BU121" s="8">
        <v>473.80979251861584</v>
      </c>
      <c r="BV121" s="8">
        <v>0</v>
      </c>
      <c r="BW121" s="8">
        <v>0</v>
      </c>
      <c r="BX121" s="8">
        <f>SUM(BW117:BW125)</f>
        <v>0</v>
      </c>
      <c r="BY121" s="8">
        <f>SUM(BU117:BU125)</f>
        <v>35019.569796562195</v>
      </c>
      <c r="BZ121" s="8">
        <f>SUM(BV109:BV120)</f>
        <v>10683.308272361759</v>
      </c>
      <c r="DW121" s="56">
        <v>39417</v>
      </c>
      <c r="DX121">
        <v>6082.3818501234055</v>
      </c>
      <c r="DY121">
        <v>1517.1460266113306</v>
      </c>
      <c r="DZ121" s="8">
        <v>762.76160621643032</v>
      </c>
      <c r="FE121" s="56">
        <v>39417</v>
      </c>
      <c r="FF121" s="8" t="e">
        <f>DX121+#REF!+#REF!</f>
        <v>#REF!</v>
      </c>
      <c r="FG121" s="8" t="e">
        <f>#REF!+DY121+#REF!</f>
        <v>#REF!</v>
      </c>
      <c r="FH121" s="8">
        <f t="shared" si="156"/>
        <v>762.76160621643032</v>
      </c>
    </row>
    <row r="122" spans="1:167" x14ac:dyDescent="0.25">
      <c r="A122" t="s">
        <v>118</v>
      </c>
      <c r="B122" s="20">
        <f t="shared" si="187"/>
        <v>11</v>
      </c>
      <c r="C122" s="8">
        <v>189537</v>
      </c>
      <c r="D122" s="8">
        <f>C122-30000</f>
        <v>159537</v>
      </c>
      <c r="E122" s="8">
        <f t="shared" si="188"/>
        <v>239305.5</v>
      </c>
      <c r="F122" s="8">
        <f t="shared" si="189"/>
        <v>21755.045454545456</v>
      </c>
      <c r="G122" s="8">
        <v>36140</v>
      </c>
      <c r="H122" s="11">
        <f t="shared" si="193"/>
        <v>84.935430327788083</v>
      </c>
      <c r="I122" s="41">
        <v>9</v>
      </c>
      <c r="J122">
        <v>58</v>
      </c>
      <c r="K122" s="11">
        <v>99.1</v>
      </c>
      <c r="L122" s="8">
        <f t="shared" si="196"/>
        <v>4444.4444444444443</v>
      </c>
      <c r="M122" s="8">
        <f t="shared" si="192"/>
        <v>17310.601010101011</v>
      </c>
      <c r="AB122">
        <v>2008</v>
      </c>
      <c r="AC122">
        <v>6</v>
      </c>
      <c r="AD122" s="8">
        <v>1.3346264362335201</v>
      </c>
      <c r="AE122" s="8">
        <v>0.94031929969787598</v>
      </c>
      <c r="AF122" s="8">
        <v>0</v>
      </c>
      <c r="AG122" s="11">
        <v>33.295000000000002</v>
      </c>
      <c r="BT122" s="56">
        <v>39417</v>
      </c>
      <c r="BU122" s="8">
        <v>7204.0769042968732</v>
      </c>
      <c r="BV122" s="8">
        <v>2146.5677719116197</v>
      </c>
      <c r="BW122" s="8">
        <v>0</v>
      </c>
      <c r="DW122" s="56">
        <v>39448</v>
      </c>
      <c r="DX122">
        <v>9106.4784237146378</v>
      </c>
      <c r="DY122">
        <v>0</v>
      </c>
      <c r="DZ122" s="8">
        <v>872.4949407577509</v>
      </c>
      <c r="FE122" s="56">
        <v>39448</v>
      </c>
      <c r="FF122" s="8" t="e">
        <f>DX122+#REF!+#REF!</f>
        <v>#REF!</v>
      </c>
      <c r="FG122" s="8" t="e">
        <f>#REF!+DY122+#REF!</f>
        <v>#REF!</v>
      </c>
      <c r="FH122" s="8">
        <f t="shared" si="156"/>
        <v>872.4949407577509</v>
      </c>
    </row>
    <row r="123" spans="1:167" x14ac:dyDescent="0.25">
      <c r="A123" t="s">
        <v>124</v>
      </c>
      <c r="B123" s="20">
        <f t="shared" si="187"/>
        <v>10</v>
      </c>
      <c r="C123" s="8">
        <v>113000</v>
      </c>
      <c r="D123" s="8">
        <f>C123-30000</f>
        <v>83000</v>
      </c>
      <c r="E123" s="8">
        <f t="shared" si="188"/>
        <v>124500</v>
      </c>
      <c r="F123" s="8">
        <f t="shared" si="189"/>
        <v>12450</v>
      </c>
      <c r="G123" s="8">
        <v>40320</v>
      </c>
      <c r="H123" s="11">
        <f t="shared" si="193"/>
        <v>125.67384095322218</v>
      </c>
      <c r="I123" s="41">
        <v>9</v>
      </c>
      <c r="J123">
        <v>6</v>
      </c>
      <c r="K123" s="11">
        <v>44.5</v>
      </c>
      <c r="L123" s="8">
        <f t="shared" si="196"/>
        <v>4444.4444444444443</v>
      </c>
      <c r="M123" s="8">
        <f t="shared" si="192"/>
        <v>8005.5555555555557</v>
      </c>
      <c r="AB123">
        <v>2008</v>
      </c>
      <c r="AC123">
        <v>7</v>
      </c>
      <c r="AD123" s="8">
        <v>724.12389898300194</v>
      </c>
      <c r="AE123" s="8">
        <v>0</v>
      </c>
      <c r="AF123" s="8">
        <v>0</v>
      </c>
      <c r="AG123" s="11">
        <v>9.7873999999999999</v>
      </c>
      <c r="BT123" s="56">
        <v>39448</v>
      </c>
      <c r="BU123" s="8">
        <v>11983.858898162844</v>
      </c>
      <c r="BV123" s="8">
        <v>0</v>
      </c>
      <c r="BW123" s="8">
        <v>0</v>
      </c>
      <c r="DW123" s="56">
        <v>39479</v>
      </c>
      <c r="DX123">
        <v>1141.4317255318172</v>
      </c>
      <c r="DY123">
        <v>0</v>
      </c>
      <c r="DZ123" s="8">
        <v>0</v>
      </c>
      <c r="FE123" s="56">
        <v>39479</v>
      </c>
      <c r="FF123" s="8" t="e">
        <f>DX123+#REF!+#REF!</f>
        <v>#REF!</v>
      </c>
      <c r="FG123" s="8" t="e">
        <f>#REF!+DY123+#REF!</f>
        <v>#REF!</v>
      </c>
      <c r="FH123" s="8">
        <f t="shared" si="156"/>
        <v>0</v>
      </c>
    </row>
    <row r="124" spans="1:167" x14ac:dyDescent="0.25">
      <c r="AB124">
        <v>2008</v>
      </c>
      <c r="AC124">
        <v>8</v>
      </c>
      <c r="AD124" s="8">
        <v>1165.1224501878021</v>
      </c>
      <c r="AE124" s="8">
        <v>0</v>
      </c>
      <c r="AF124" s="8">
        <v>0</v>
      </c>
      <c r="AG124" s="11">
        <v>10.787000000000001</v>
      </c>
      <c r="BT124" s="56">
        <v>39479</v>
      </c>
      <c r="BU124" s="8">
        <v>10338.988660812376</v>
      </c>
      <c r="BV124" s="8">
        <v>0</v>
      </c>
      <c r="BW124" s="8">
        <v>0</v>
      </c>
      <c r="DW124" s="56">
        <v>39508</v>
      </c>
      <c r="DX124">
        <v>1145.1330335140228</v>
      </c>
      <c r="DY124">
        <v>0</v>
      </c>
      <c r="DZ124" s="8">
        <v>0</v>
      </c>
      <c r="FE124" s="56">
        <v>39508</v>
      </c>
      <c r="FF124" s="8" t="e">
        <f>DX124+#REF!+#REF!</f>
        <v>#REF!</v>
      </c>
      <c r="FG124" s="8" t="e">
        <f>#REF!+DY124+#REF!</f>
        <v>#REF!</v>
      </c>
      <c r="FH124" s="8">
        <f t="shared" si="156"/>
        <v>0</v>
      </c>
    </row>
    <row r="125" spans="1:167" x14ac:dyDescent="0.25">
      <c r="AB125">
        <v>2008</v>
      </c>
      <c r="AC125">
        <v>9</v>
      </c>
      <c r="AD125" s="8">
        <v>1140.6653319001198</v>
      </c>
      <c r="AE125" s="8">
        <v>0</v>
      </c>
      <c r="AF125" s="8">
        <v>0</v>
      </c>
      <c r="AG125" s="11">
        <v>10.787000000000001</v>
      </c>
      <c r="AH125" s="11"/>
      <c r="AI125" s="11"/>
      <c r="BT125" s="56">
        <v>39508</v>
      </c>
      <c r="BU125" s="8">
        <v>5018.8355407714862</v>
      </c>
      <c r="BV125" s="8">
        <v>0</v>
      </c>
      <c r="BW125" s="8">
        <v>0</v>
      </c>
      <c r="DW125" s="56">
        <v>39539</v>
      </c>
      <c r="DX125">
        <v>111.88116490840906</v>
      </c>
      <c r="DY125">
        <v>0</v>
      </c>
      <c r="DZ125" s="8">
        <v>0</v>
      </c>
      <c r="FE125" s="56">
        <v>39539</v>
      </c>
      <c r="FF125" s="8" t="e">
        <f>DX125+#REF!+#REF!</f>
        <v>#REF!</v>
      </c>
      <c r="FG125" s="8" t="e">
        <f>#REF!+DY125+#REF!</f>
        <v>#REF!</v>
      </c>
      <c r="FH125" s="8">
        <f t="shared" si="156"/>
        <v>0</v>
      </c>
    </row>
    <row r="126" spans="1:167" x14ac:dyDescent="0.25">
      <c r="AB126">
        <v>2008</v>
      </c>
      <c r="AC126">
        <v>10</v>
      </c>
      <c r="AD126" s="8">
        <v>4665.5213752835998</v>
      </c>
      <c r="AE126" s="8">
        <v>0</v>
      </c>
      <c r="AF126" s="8">
        <v>0</v>
      </c>
      <c r="AG126" s="11">
        <v>10.787000000000001</v>
      </c>
      <c r="AH126" s="11"/>
      <c r="AI126" s="11"/>
      <c r="BT126" s="56">
        <v>39539</v>
      </c>
      <c r="BU126" s="8">
        <v>1767.4333257675171</v>
      </c>
      <c r="BV126" s="8">
        <v>0</v>
      </c>
      <c r="BW126" s="8">
        <v>0</v>
      </c>
      <c r="DW126" s="56">
        <v>39569</v>
      </c>
      <c r="DX126">
        <v>61.249572888016743</v>
      </c>
      <c r="DY126">
        <v>0</v>
      </c>
      <c r="DZ126" s="8">
        <v>0</v>
      </c>
      <c r="FE126" s="56">
        <v>39569</v>
      </c>
      <c r="FF126" s="8" t="e">
        <f>DX126+#REF!+#REF!</f>
        <v>#REF!</v>
      </c>
      <c r="FG126" s="8" t="e">
        <f>#REF!+DY126+#REF!</f>
        <v>#REF!</v>
      </c>
      <c r="FH126" s="8">
        <f t="shared" si="156"/>
        <v>0</v>
      </c>
    </row>
    <row r="127" spans="1:167" x14ac:dyDescent="0.25">
      <c r="AB127">
        <v>2008</v>
      </c>
      <c r="AC127">
        <v>11</v>
      </c>
      <c r="AD127" s="8">
        <v>2896.8729618191719</v>
      </c>
      <c r="AE127" s="8">
        <v>8.9069786071777308</v>
      </c>
      <c r="AF127" s="8">
        <v>0</v>
      </c>
      <c r="AG127" s="11">
        <v>10.787000000000001</v>
      </c>
      <c r="AH127" s="11"/>
      <c r="AI127" s="11"/>
      <c r="BT127" s="56">
        <v>39569</v>
      </c>
      <c r="BU127" s="8">
        <v>159.89511871337896</v>
      </c>
      <c r="BV127" s="8">
        <v>0</v>
      </c>
      <c r="BW127" s="8">
        <v>0</v>
      </c>
      <c r="DW127" s="56">
        <v>39600</v>
      </c>
      <c r="DX127">
        <v>10.09168004989627</v>
      </c>
      <c r="DY127">
        <v>0</v>
      </c>
      <c r="DZ127" s="8">
        <v>0</v>
      </c>
      <c r="FE127" s="56">
        <v>39600</v>
      </c>
      <c r="FF127" s="8" t="e">
        <f>DX127+#REF!+#REF!</f>
        <v>#REF!</v>
      </c>
      <c r="FG127" s="8" t="e">
        <f>#REF!+DY127+#REF!</f>
        <v>#REF!</v>
      </c>
      <c r="FH127" s="8">
        <f t="shared" si="156"/>
        <v>0</v>
      </c>
    </row>
    <row r="128" spans="1:167" x14ac:dyDescent="0.25">
      <c r="AB128">
        <v>2008</v>
      </c>
      <c r="AC128">
        <v>12</v>
      </c>
      <c r="AD128" s="8">
        <v>37995.609713435173</v>
      </c>
      <c r="AE128" s="8">
        <v>47.842105865478501</v>
      </c>
      <c r="AF128" s="8">
        <v>0</v>
      </c>
      <c r="AG128" s="11">
        <v>12.787000000000001</v>
      </c>
      <c r="BT128" s="56">
        <v>39600</v>
      </c>
      <c r="BU128" s="8">
        <v>0</v>
      </c>
      <c r="BV128" s="8">
        <v>0</v>
      </c>
      <c r="BW128" s="8">
        <v>0</v>
      </c>
      <c r="DW128" s="56">
        <v>39630</v>
      </c>
      <c r="DX128">
        <v>704.88139618933167</v>
      </c>
      <c r="DY128">
        <v>0</v>
      </c>
      <c r="DZ128" s="8">
        <v>56.932771563530011</v>
      </c>
      <c r="FE128" s="56">
        <v>39630</v>
      </c>
      <c r="FF128" s="8" t="e">
        <f>DX128+#REF!+#REF!</f>
        <v>#REF!</v>
      </c>
      <c r="FG128" s="8" t="e">
        <f>#REF!+DY128+#REF!</f>
        <v>#REF!</v>
      </c>
      <c r="FH128" s="8">
        <f t="shared" si="156"/>
        <v>56.932771563530011</v>
      </c>
    </row>
    <row r="129" spans="28:167" x14ac:dyDescent="0.25">
      <c r="AB129">
        <v>2009</v>
      </c>
      <c r="AC129">
        <v>1</v>
      </c>
      <c r="AD129" s="8">
        <v>8142.7479350343319</v>
      </c>
      <c r="AE129" s="8">
        <v>0</v>
      </c>
      <c r="AF129" s="8">
        <v>0</v>
      </c>
      <c r="AG129" s="11">
        <v>27.786999999999999</v>
      </c>
      <c r="BT129" s="56">
        <v>39630</v>
      </c>
      <c r="BU129" s="8">
        <v>483.15692138672034</v>
      </c>
      <c r="BV129" s="8">
        <v>0</v>
      </c>
      <c r="BW129" s="8">
        <v>0</v>
      </c>
      <c r="DW129" s="56">
        <v>39661</v>
      </c>
      <c r="DX129">
        <v>1049.5488118156793</v>
      </c>
      <c r="DY129">
        <v>0</v>
      </c>
      <c r="DZ129" s="8">
        <v>75.938641548156781</v>
      </c>
      <c r="FE129" s="56">
        <v>39661</v>
      </c>
      <c r="FF129" s="8" t="e">
        <f>DX129+#REF!+#REF!</f>
        <v>#REF!</v>
      </c>
      <c r="FG129" s="8" t="e">
        <f>#REF!+DY129+#REF!</f>
        <v>#REF!</v>
      </c>
      <c r="FH129" s="8">
        <f t="shared" si="156"/>
        <v>75.938641548156781</v>
      </c>
    </row>
    <row r="130" spans="28:167" x14ac:dyDescent="0.25">
      <c r="AB130">
        <v>2009</v>
      </c>
      <c r="AC130">
        <v>2</v>
      </c>
      <c r="AD130" s="8">
        <v>1198.5149542987347</v>
      </c>
      <c r="AE130" s="8">
        <v>0</v>
      </c>
      <c r="AF130" s="8">
        <v>0</v>
      </c>
      <c r="AG130" s="11">
        <v>27.786999999999999</v>
      </c>
      <c r="BT130" s="56">
        <v>39661</v>
      </c>
      <c r="BU130" s="8">
        <v>731.70413589477528</v>
      </c>
      <c r="BV130" s="8">
        <v>0</v>
      </c>
      <c r="BW130" s="8">
        <v>0</v>
      </c>
      <c r="DW130" s="56">
        <v>39692</v>
      </c>
      <c r="DX130">
        <v>1257.4026336669926</v>
      </c>
      <c r="DY130">
        <v>0</v>
      </c>
      <c r="DZ130" s="8">
        <v>118.52027893066408</v>
      </c>
      <c r="FE130" s="56">
        <v>39692</v>
      </c>
      <c r="FF130" s="8" t="e">
        <f>DX130+#REF!+#REF!</f>
        <v>#REF!</v>
      </c>
      <c r="FG130" s="8" t="e">
        <f>#REF!+DY130+#REF!</f>
        <v>#REF!</v>
      </c>
      <c r="FH130" s="8">
        <f t="shared" si="156"/>
        <v>118.52027893066408</v>
      </c>
    </row>
    <row r="131" spans="28:167" x14ac:dyDescent="0.25">
      <c r="AB131">
        <v>2009</v>
      </c>
      <c r="AC131">
        <v>3</v>
      </c>
      <c r="AD131" s="8">
        <v>1663.3941507339478</v>
      </c>
      <c r="AE131" s="8">
        <v>0</v>
      </c>
      <c r="AF131" s="8">
        <v>0</v>
      </c>
      <c r="AG131" s="11">
        <v>27.786999999999999</v>
      </c>
      <c r="AH131" s="11">
        <f>SUM(AD123:AD131)</f>
        <v>59592.572771675885</v>
      </c>
      <c r="AI131" s="11">
        <f>SUM(AE123:AE131)</f>
        <v>56.749084472656236</v>
      </c>
      <c r="BT131" s="56">
        <v>39692</v>
      </c>
      <c r="BU131" s="8">
        <v>622.38277435302768</v>
      </c>
      <c r="BV131" s="8">
        <v>0</v>
      </c>
      <c r="BW131" s="8">
        <v>0</v>
      </c>
      <c r="DW131" s="56">
        <v>39722</v>
      </c>
      <c r="DX131">
        <v>834.06815505027862</v>
      </c>
      <c r="DY131">
        <v>0</v>
      </c>
      <c r="DZ131" s="8">
        <v>580.91527748107762</v>
      </c>
      <c r="FE131" s="56">
        <v>39722</v>
      </c>
      <c r="FF131" s="8" t="e">
        <f>DX131+#REF!+#REF!</f>
        <v>#REF!</v>
      </c>
      <c r="FG131" s="8" t="e">
        <f>#REF!+DY131+#REF!</f>
        <v>#REF!</v>
      </c>
      <c r="FH131" s="8">
        <f t="shared" ref="FH131:FH187" si="197">DZ131</f>
        <v>580.91527748107762</v>
      </c>
    </row>
    <row r="132" spans="28:167" x14ac:dyDescent="0.25">
      <c r="AB132">
        <v>2009</v>
      </c>
      <c r="AC132">
        <v>4</v>
      </c>
      <c r="AD132" s="8">
        <v>457.93019199371349</v>
      </c>
      <c r="AE132" s="8">
        <v>0</v>
      </c>
      <c r="AF132" s="8">
        <v>0</v>
      </c>
      <c r="AG132" s="11">
        <v>27.786999999999999</v>
      </c>
      <c r="BT132" s="56">
        <v>39722</v>
      </c>
      <c r="BU132" s="8">
        <v>1230.6991024017318</v>
      </c>
      <c r="BV132" s="8">
        <v>0</v>
      </c>
      <c r="BW132" s="8">
        <v>0</v>
      </c>
      <c r="DW132" s="56">
        <v>39753</v>
      </c>
      <c r="DX132">
        <v>1986.1743187904353</v>
      </c>
      <c r="DY132">
        <v>72.656913757324205</v>
      </c>
      <c r="DZ132" s="8">
        <v>630.25837767124187</v>
      </c>
      <c r="EA132" s="56">
        <f>DW132</f>
        <v>39753</v>
      </c>
      <c r="EB132" s="8">
        <f>SUM(DZ128:DZ136)</f>
        <v>3049.031739234922</v>
      </c>
      <c r="EC132" s="8">
        <f>SUM(DX128:DX136)</f>
        <v>26137.209814943377</v>
      </c>
      <c r="ED132" s="8">
        <f>SUM(DY128:DY136)</f>
        <v>72.656913757324205</v>
      </c>
      <c r="FE132" s="56">
        <v>39753</v>
      </c>
      <c r="FF132" s="8" t="e">
        <f>DX132+#REF!+#REF!</f>
        <v>#REF!</v>
      </c>
      <c r="FG132" s="8" t="e">
        <f>#REF!+DY132+#REF!</f>
        <v>#REF!</v>
      </c>
      <c r="FH132" s="8">
        <f t="shared" si="197"/>
        <v>630.25837767124187</v>
      </c>
      <c r="FI132" s="8" t="e">
        <f>SUM(FF128:FF136)</f>
        <v>#REF!</v>
      </c>
      <c r="FJ132" s="8" t="e">
        <f>SUM(FG128:FG136)</f>
        <v>#REF!</v>
      </c>
      <c r="FK132" s="8">
        <f>SUM(FH128:FH136)</f>
        <v>3049.031739234922</v>
      </c>
    </row>
    <row r="133" spans="28:167" x14ac:dyDescent="0.25">
      <c r="AB133">
        <v>2009</v>
      </c>
      <c r="AC133">
        <v>5</v>
      </c>
      <c r="AD133" s="8">
        <v>34.550441935658476</v>
      </c>
      <c r="AE133" s="8">
        <v>0</v>
      </c>
      <c r="AF133" s="8">
        <v>0</v>
      </c>
      <c r="AG133" s="11">
        <v>27.786999999999999</v>
      </c>
      <c r="BT133" s="56">
        <v>39753</v>
      </c>
      <c r="BU133" s="8">
        <v>1022.6474609375</v>
      </c>
      <c r="BV133" s="8">
        <v>6.543701171875</v>
      </c>
      <c r="BW133" s="8">
        <v>0</v>
      </c>
      <c r="BX133" s="8">
        <f>SUM(BW129:BW137)</f>
        <v>0</v>
      </c>
      <c r="BY133" s="8">
        <f>SUM(BU129:BU137)</f>
        <v>37921.98935723304</v>
      </c>
      <c r="BZ133" s="8">
        <f>SUM(BV121:BV132)</f>
        <v>2146.5677719116197</v>
      </c>
      <c r="DW133" s="56">
        <v>39783</v>
      </c>
      <c r="DX133">
        <v>16722.331549048427</v>
      </c>
      <c r="DY133">
        <v>0</v>
      </c>
      <c r="DZ133" s="8">
        <v>1148.7398486137386</v>
      </c>
      <c r="FE133" s="56">
        <v>39783</v>
      </c>
      <c r="FF133" s="8" t="e">
        <f>DX133+#REF!+#REF!</f>
        <v>#REF!</v>
      </c>
      <c r="FG133" s="8" t="e">
        <f>#REF!+DY133+#REF!</f>
        <v>#REF!</v>
      </c>
      <c r="FH133" s="8">
        <f t="shared" si="197"/>
        <v>1148.7398486137386</v>
      </c>
    </row>
    <row r="134" spans="28:167" x14ac:dyDescent="0.25">
      <c r="AB134">
        <v>2009</v>
      </c>
      <c r="AC134">
        <v>6</v>
      </c>
      <c r="AD134" s="8">
        <v>0</v>
      </c>
      <c r="AE134" s="8">
        <v>0</v>
      </c>
      <c r="AF134" s="8">
        <v>0</v>
      </c>
      <c r="AG134" s="11">
        <v>27.786999999999999</v>
      </c>
      <c r="BT134" s="56">
        <v>39783</v>
      </c>
      <c r="BU134" s="8">
        <v>20640.240188837051</v>
      </c>
      <c r="BV134" s="8">
        <v>0</v>
      </c>
      <c r="BW134" s="8">
        <v>0</v>
      </c>
      <c r="DW134" s="56">
        <v>39814</v>
      </c>
      <c r="DX134">
        <v>1874.302998542785</v>
      </c>
      <c r="DY134">
        <v>0</v>
      </c>
      <c r="DZ134" s="8">
        <v>437.72654342651322</v>
      </c>
      <c r="FE134" s="56">
        <v>39814</v>
      </c>
      <c r="FF134" s="8" t="e">
        <f>DX134+#REF!+#REF!</f>
        <v>#REF!</v>
      </c>
      <c r="FG134" s="8" t="e">
        <f>#REF!+DY134+#REF!</f>
        <v>#REF!</v>
      </c>
      <c r="FH134" s="8">
        <f t="shared" si="197"/>
        <v>437.72654342651322</v>
      </c>
    </row>
    <row r="135" spans="28:167" x14ac:dyDescent="0.25">
      <c r="AB135">
        <v>2009</v>
      </c>
      <c r="AC135">
        <v>7</v>
      </c>
      <c r="AD135" s="8">
        <v>724.12389898300194</v>
      </c>
      <c r="AE135" s="8">
        <v>0</v>
      </c>
      <c r="AF135" s="8">
        <v>0</v>
      </c>
      <c r="AG135" s="11">
        <v>10.63</v>
      </c>
      <c r="BT135" s="56">
        <v>39814</v>
      </c>
      <c r="BU135" s="8">
        <v>6998.163579940795</v>
      </c>
      <c r="BV135" s="8">
        <v>0</v>
      </c>
      <c r="BW135" s="8">
        <v>0</v>
      </c>
      <c r="DW135" s="56">
        <v>39845</v>
      </c>
      <c r="DX135">
        <v>864.00288105011032</v>
      </c>
      <c r="DY135">
        <v>0</v>
      </c>
      <c r="DZ135" s="8">
        <v>0</v>
      </c>
      <c r="FE135" s="56">
        <v>39845</v>
      </c>
      <c r="FF135" s="8" t="e">
        <f>DX135+#REF!+#REF!</f>
        <v>#REF!</v>
      </c>
      <c r="FG135" s="8" t="e">
        <f>#REF!+DY135+#REF!</f>
        <v>#REF!</v>
      </c>
      <c r="FH135" s="8">
        <f t="shared" si="197"/>
        <v>0</v>
      </c>
    </row>
    <row r="136" spans="28:167" x14ac:dyDescent="0.25">
      <c r="AB136">
        <v>2009</v>
      </c>
      <c r="AC136">
        <v>8</v>
      </c>
      <c r="AD136" s="8">
        <v>1152.1784358173607</v>
      </c>
      <c r="AE136" s="8">
        <v>0</v>
      </c>
      <c r="AF136" s="8">
        <v>0</v>
      </c>
      <c r="AG136" s="11">
        <v>10.63</v>
      </c>
      <c r="BT136" s="56">
        <v>39845</v>
      </c>
      <c r="BU136" s="8">
        <v>5101.1436614990162</v>
      </c>
      <c r="BV136" s="8">
        <v>0</v>
      </c>
      <c r="BW136" s="8">
        <v>0</v>
      </c>
      <c r="DW136" s="56">
        <v>39873</v>
      </c>
      <c r="DX136">
        <v>844.49707078933727</v>
      </c>
      <c r="DY136">
        <v>0</v>
      </c>
      <c r="DZ136" s="8">
        <v>0</v>
      </c>
      <c r="FE136" s="56">
        <v>39873</v>
      </c>
      <c r="FF136" s="8" t="e">
        <f>DX136+#REF!+#REF!</f>
        <v>#REF!</v>
      </c>
      <c r="FG136" s="8" t="e">
        <f>#REF!+DY136+#REF!</f>
        <v>#REF!</v>
      </c>
      <c r="FH136" s="8">
        <f t="shared" si="197"/>
        <v>0</v>
      </c>
    </row>
    <row r="137" spans="28:167" x14ac:dyDescent="0.25">
      <c r="AB137">
        <v>2009</v>
      </c>
      <c r="AC137">
        <v>9</v>
      </c>
      <c r="AD137" s="8">
        <v>1614.3629257977009</v>
      </c>
      <c r="AE137" s="8">
        <v>0</v>
      </c>
      <c r="AF137" s="8">
        <v>0</v>
      </c>
      <c r="AG137" s="11">
        <v>10.63</v>
      </c>
      <c r="AH137" s="11"/>
      <c r="AI137" s="11"/>
      <c r="BT137" s="56">
        <v>39873</v>
      </c>
      <c r="BU137" s="8">
        <v>1091.851531982423</v>
      </c>
      <c r="BV137" s="8">
        <v>0</v>
      </c>
      <c r="BW137" s="8">
        <v>0</v>
      </c>
      <c r="DW137" s="56">
        <v>39904</v>
      </c>
      <c r="DX137">
        <v>208.01971244812006</v>
      </c>
      <c r="DY137">
        <v>0</v>
      </c>
      <c r="DZ137" s="8">
        <v>0</v>
      </c>
      <c r="FE137" s="56">
        <v>39904</v>
      </c>
      <c r="FF137" s="8" t="e">
        <f>DX137+#REF!+#REF!</f>
        <v>#REF!</v>
      </c>
      <c r="FG137" s="8" t="e">
        <f>#REF!+DY137+#REF!</f>
        <v>#REF!</v>
      </c>
      <c r="FH137" s="8">
        <f t="shared" si="197"/>
        <v>0</v>
      </c>
    </row>
    <row r="138" spans="28:167" x14ac:dyDescent="0.25">
      <c r="AB138">
        <v>2009</v>
      </c>
      <c r="AC138">
        <v>10</v>
      </c>
      <c r="AD138" s="8">
        <v>6909.7551519274712</v>
      </c>
      <c r="AE138" s="8">
        <v>0</v>
      </c>
      <c r="AF138" s="8">
        <v>0</v>
      </c>
      <c r="AG138" s="11">
        <v>10.63</v>
      </c>
      <c r="AH138" s="11"/>
      <c r="AI138" s="11"/>
      <c r="BT138" s="56">
        <v>39904</v>
      </c>
      <c r="BU138" s="8">
        <v>0</v>
      </c>
      <c r="BV138" s="8">
        <v>0</v>
      </c>
      <c r="BW138" s="8">
        <v>0</v>
      </c>
      <c r="DW138" s="56">
        <v>39934</v>
      </c>
      <c r="DX138">
        <v>294.31199888885027</v>
      </c>
      <c r="DY138">
        <v>0</v>
      </c>
      <c r="DZ138" s="8">
        <v>0</v>
      </c>
      <c r="FE138" s="56">
        <v>39934</v>
      </c>
      <c r="FF138" s="8" t="e">
        <f>DX138+#REF!+#REF!</f>
        <v>#REF!</v>
      </c>
      <c r="FG138" s="8" t="e">
        <f>#REF!+DY138+#REF!</f>
        <v>#REF!</v>
      </c>
      <c r="FH138" s="8">
        <f t="shared" si="197"/>
        <v>0</v>
      </c>
    </row>
    <row r="139" spans="28:167" x14ac:dyDescent="0.25">
      <c r="AB139">
        <v>2009</v>
      </c>
      <c r="AC139">
        <v>11</v>
      </c>
      <c r="AD139" s="8">
        <v>631.27823984622955</v>
      </c>
      <c r="AE139" s="8">
        <v>0</v>
      </c>
      <c r="AF139" s="8">
        <v>0</v>
      </c>
      <c r="AG139" s="11">
        <v>10.63</v>
      </c>
      <c r="AH139" s="11"/>
      <c r="AI139" s="11"/>
      <c r="BT139" s="56">
        <v>39934</v>
      </c>
      <c r="BU139" s="8">
        <v>0</v>
      </c>
      <c r="BV139" s="8">
        <v>0</v>
      </c>
      <c r="BW139" s="8">
        <v>0</v>
      </c>
      <c r="DW139" s="56">
        <v>39965</v>
      </c>
      <c r="DX139">
        <v>21.758447349071499</v>
      </c>
      <c r="DY139">
        <v>0</v>
      </c>
      <c r="DZ139" s="8">
        <v>0</v>
      </c>
      <c r="FE139" s="56">
        <v>39965</v>
      </c>
      <c r="FF139" s="8" t="e">
        <f>DX139+#REF!+#REF!</f>
        <v>#REF!</v>
      </c>
      <c r="FG139" s="8" t="e">
        <f>#REF!+DY139+#REF!</f>
        <v>#REF!</v>
      </c>
      <c r="FH139" s="8">
        <f t="shared" si="197"/>
        <v>0</v>
      </c>
    </row>
    <row r="140" spans="28:167" x14ac:dyDescent="0.25">
      <c r="AB140">
        <v>2009</v>
      </c>
      <c r="AC140">
        <v>12</v>
      </c>
      <c r="AD140" s="8">
        <v>1328.0275017619138</v>
      </c>
      <c r="AE140" s="8">
        <v>9093.1883010864203</v>
      </c>
      <c r="AF140" s="8">
        <v>0</v>
      </c>
      <c r="AG140" s="11">
        <v>10.63</v>
      </c>
      <c r="BT140" s="56">
        <v>39965</v>
      </c>
      <c r="BU140" s="8">
        <v>0</v>
      </c>
      <c r="BV140" s="8">
        <v>0</v>
      </c>
      <c r="BW140" s="8">
        <v>0</v>
      </c>
      <c r="DW140" s="56">
        <v>39995</v>
      </c>
      <c r="DX140">
        <v>703.53762817382778</v>
      </c>
      <c r="DY140">
        <v>0</v>
      </c>
      <c r="DZ140" s="8">
        <v>56.932771563530011</v>
      </c>
      <c r="FE140" s="56">
        <v>39995</v>
      </c>
      <c r="FF140" s="8" t="e">
        <f>DX140+#REF!+#REF!</f>
        <v>#REF!</v>
      </c>
      <c r="FG140" s="8" t="e">
        <f>#REF!+DY140+#REF!</f>
        <v>#REF!</v>
      </c>
      <c r="FH140" s="8">
        <f t="shared" si="197"/>
        <v>56.932771563530011</v>
      </c>
    </row>
    <row r="141" spans="28:167" x14ac:dyDescent="0.25">
      <c r="AB141">
        <v>2010</v>
      </c>
      <c r="AC141">
        <v>1</v>
      </c>
      <c r="AD141" s="8">
        <v>1582.3034283071756</v>
      </c>
      <c r="AE141" s="8">
        <v>586.09767389297451</v>
      </c>
      <c r="AF141" s="8">
        <v>0</v>
      </c>
      <c r="AG141" s="11">
        <v>10.629</v>
      </c>
      <c r="BT141" s="56">
        <v>39995</v>
      </c>
      <c r="BU141" s="8">
        <v>599.43488359451305</v>
      </c>
      <c r="BV141" s="8">
        <v>0</v>
      </c>
      <c r="BW141" s="8">
        <v>0</v>
      </c>
      <c r="DW141" s="56">
        <v>40026</v>
      </c>
      <c r="DX141">
        <v>1109.0115129649641</v>
      </c>
      <c r="DY141">
        <v>0</v>
      </c>
      <c r="DZ141" s="8">
        <v>75.938641548156781</v>
      </c>
      <c r="FE141" s="56">
        <v>40026</v>
      </c>
      <c r="FF141" s="8" t="e">
        <f>DX141+#REF!+#REF!</f>
        <v>#REF!</v>
      </c>
      <c r="FG141" s="8" t="e">
        <f>#REF!+DY141+#REF!</f>
        <v>#REF!</v>
      </c>
      <c r="FH141" s="8">
        <f t="shared" si="197"/>
        <v>75.938641548156781</v>
      </c>
    </row>
    <row r="142" spans="28:167" x14ac:dyDescent="0.25">
      <c r="AB142">
        <v>2010</v>
      </c>
      <c r="AC142">
        <v>2</v>
      </c>
      <c r="AD142" s="8">
        <v>1187.5941368341444</v>
      </c>
      <c r="AE142" s="8">
        <v>3847.165728330614</v>
      </c>
      <c r="AF142" s="8">
        <v>0</v>
      </c>
      <c r="AG142" s="11">
        <v>10.629</v>
      </c>
      <c r="BT142" s="56">
        <v>40026</v>
      </c>
      <c r="BU142" s="8">
        <v>907.79820299148469</v>
      </c>
      <c r="BV142" s="8">
        <v>0</v>
      </c>
      <c r="BW142" s="8">
        <v>0</v>
      </c>
      <c r="DW142" s="56">
        <v>40057</v>
      </c>
      <c r="DX142">
        <v>1724.203789710999</v>
      </c>
      <c r="DY142">
        <v>0</v>
      </c>
      <c r="DZ142" s="8">
        <v>118.52027893066408</v>
      </c>
      <c r="FE142" s="56">
        <v>40057</v>
      </c>
      <c r="FF142" s="8" t="e">
        <f>DX142+#REF!+#REF!</f>
        <v>#REF!</v>
      </c>
      <c r="FG142" s="8" t="e">
        <f>#REF!+DY142+#REF!</f>
        <v>#REF!</v>
      </c>
      <c r="FH142" s="8">
        <f t="shared" si="197"/>
        <v>118.52027893066408</v>
      </c>
    </row>
    <row r="143" spans="28:167" x14ac:dyDescent="0.25">
      <c r="AB143">
        <v>2010</v>
      </c>
      <c r="AC143">
        <v>3</v>
      </c>
      <c r="AD143" s="8">
        <v>3760.2748352289195</v>
      </c>
      <c r="AE143" s="8">
        <v>19.367693424224811</v>
      </c>
      <c r="AF143" s="8">
        <v>0</v>
      </c>
      <c r="AG143" s="11">
        <v>10.63</v>
      </c>
      <c r="AH143" s="11">
        <f>SUM(AD135:AD143)</f>
        <v>18889.898554503918</v>
      </c>
      <c r="AI143" s="11">
        <f>SUM(AE135:AE143)</f>
        <v>13545.819396734234</v>
      </c>
      <c r="BT143" s="56">
        <v>40057</v>
      </c>
      <c r="BU143" s="8">
        <v>1237.6224746704099</v>
      </c>
      <c r="BV143" s="8">
        <v>0</v>
      </c>
      <c r="BW143" s="8">
        <v>0</v>
      </c>
      <c r="DW143" s="56">
        <v>40087</v>
      </c>
      <c r="DX143">
        <v>971.86190730333328</v>
      </c>
      <c r="DY143">
        <v>0</v>
      </c>
      <c r="DZ143" s="8">
        <v>580.91527748107762</v>
      </c>
      <c r="FE143" s="56">
        <v>40087</v>
      </c>
      <c r="FF143" s="8" t="e">
        <f>DX143+#REF!+#REF!</f>
        <v>#REF!</v>
      </c>
      <c r="FG143" s="8" t="e">
        <f>#REF!+DY143+#REF!</f>
        <v>#REF!</v>
      </c>
      <c r="FH143" s="8">
        <f t="shared" si="197"/>
        <v>580.91527748107762</v>
      </c>
    </row>
    <row r="144" spans="28:167" x14ac:dyDescent="0.25">
      <c r="AB144">
        <v>2010</v>
      </c>
      <c r="AC144">
        <v>4</v>
      </c>
      <c r="AD144" s="8">
        <v>2852.6868360638614</v>
      </c>
      <c r="AE144" s="8">
        <v>29.61977207660675</v>
      </c>
      <c r="AF144" s="8">
        <v>0</v>
      </c>
      <c r="AG144" s="11">
        <v>12.63</v>
      </c>
      <c r="BT144" s="56">
        <v>40087</v>
      </c>
      <c r="BU144" s="8">
        <v>3870.3368301391611</v>
      </c>
      <c r="BV144" s="8">
        <v>0</v>
      </c>
      <c r="BW144" s="8">
        <v>0</v>
      </c>
      <c r="DW144" s="56">
        <v>40118</v>
      </c>
      <c r="DX144">
        <v>567.28973901271809</v>
      </c>
      <c r="DY144">
        <v>0</v>
      </c>
      <c r="DZ144" s="8">
        <v>1033.9222354888923</v>
      </c>
      <c r="EA144" s="56">
        <f>DW144</f>
        <v>40118</v>
      </c>
      <c r="EB144" s="8">
        <f>SUM(DZ140:DZ148)</f>
        <v>3049.0338791608792</v>
      </c>
      <c r="EC144" s="8">
        <f>SUM(DX140:DX148)</f>
        <v>8082.1496472060689</v>
      </c>
      <c r="ED144" s="8">
        <f>SUM(DY140:DY148)</f>
        <v>4014.4633746147201</v>
      </c>
      <c r="FE144" s="56">
        <v>40118</v>
      </c>
      <c r="FF144" s="8" t="e">
        <f>DX144+#REF!+#REF!</f>
        <v>#REF!</v>
      </c>
      <c r="FG144" s="8" t="e">
        <f>#REF!+DY144+#REF!</f>
        <v>#REF!</v>
      </c>
      <c r="FH144" s="8">
        <f t="shared" si="197"/>
        <v>1033.9222354888923</v>
      </c>
      <c r="FI144" s="8" t="e">
        <f>SUM(FF140:FF148)</f>
        <v>#REF!</v>
      </c>
      <c r="FJ144" s="8" t="e">
        <f>SUM(FG140:FG148)</f>
        <v>#REF!</v>
      </c>
      <c r="FK144" s="8">
        <f>SUM(FH140:FH148)</f>
        <v>3049.0338791608792</v>
      </c>
    </row>
    <row r="145" spans="28:167" x14ac:dyDescent="0.25">
      <c r="AB145">
        <v>2010</v>
      </c>
      <c r="AC145">
        <v>5</v>
      </c>
      <c r="AD145" s="8">
        <v>44.251200705766657</v>
      </c>
      <c r="AE145" s="8">
        <v>0.97677084803581204</v>
      </c>
      <c r="AF145" s="8">
        <v>0</v>
      </c>
      <c r="AG145" s="11">
        <v>12.629</v>
      </c>
      <c r="BT145" s="56">
        <v>40118</v>
      </c>
      <c r="BU145" s="8">
        <v>0</v>
      </c>
      <c r="BV145" s="8">
        <v>0</v>
      </c>
      <c r="BW145" s="8">
        <v>0</v>
      </c>
      <c r="BX145" s="8">
        <f>SUM(BW141:BW149)</f>
        <v>0</v>
      </c>
      <c r="BY145" s="8">
        <f>SUM(BU141:BU149)</f>
        <v>8268.994179725647</v>
      </c>
      <c r="BZ145" s="8">
        <f>SUM(BV133:BV144)</f>
        <v>6.543701171875</v>
      </c>
      <c r="DW145" s="56">
        <v>40148</v>
      </c>
      <c r="DX145">
        <v>741.20779429376194</v>
      </c>
      <c r="DY145">
        <v>3590.27221679688</v>
      </c>
      <c r="DZ145" s="8">
        <v>961.94103622436467</v>
      </c>
      <c r="FE145" s="56">
        <v>40148</v>
      </c>
      <c r="FF145" s="8" t="e">
        <f>DX145+#REF!+#REF!</f>
        <v>#REF!</v>
      </c>
      <c r="FG145" s="8" t="e">
        <f>#REF!+DY145+#REF!</f>
        <v>#REF!</v>
      </c>
      <c r="FH145" s="8">
        <f t="shared" si="197"/>
        <v>961.94103622436467</v>
      </c>
    </row>
    <row r="146" spans="28:167" x14ac:dyDescent="0.25">
      <c r="AB146">
        <v>2010</v>
      </c>
      <c r="AC146">
        <v>6</v>
      </c>
      <c r="AD146" s="8">
        <v>1.8950074315071099</v>
      </c>
      <c r="AE146" s="8">
        <v>0</v>
      </c>
      <c r="AF146" s="8">
        <v>0</v>
      </c>
      <c r="AG146" s="11">
        <v>12.629</v>
      </c>
      <c r="BT146" s="56">
        <v>40148</v>
      </c>
      <c r="BU146" s="8">
        <v>0</v>
      </c>
      <c r="BV146" s="8">
        <v>4911.2445983886701</v>
      </c>
      <c r="BW146" s="8">
        <v>0</v>
      </c>
      <c r="DW146" s="56">
        <v>40179</v>
      </c>
      <c r="DX146">
        <v>639.81077861785889</v>
      </c>
      <c r="DY146">
        <v>424.19115781784001</v>
      </c>
      <c r="DZ146" s="8">
        <v>220.86363792419408</v>
      </c>
      <c r="FE146" s="56">
        <v>40179</v>
      </c>
      <c r="FF146" s="8" t="e">
        <f>DX146+#REF!+#REF!</f>
        <v>#REF!</v>
      </c>
      <c r="FG146" s="8" t="e">
        <f>#REF!+DY146+#REF!</f>
        <v>#REF!</v>
      </c>
      <c r="FH146" s="8">
        <f t="shared" si="197"/>
        <v>220.86363792419408</v>
      </c>
    </row>
    <row r="147" spans="28:167" x14ac:dyDescent="0.25">
      <c r="AB147">
        <v>2010</v>
      </c>
      <c r="AC147">
        <v>7</v>
      </c>
      <c r="AD147" s="8">
        <v>719.23397159576439</v>
      </c>
      <c r="AE147" s="8">
        <v>893.80267333984398</v>
      </c>
      <c r="AF147" s="8">
        <v>0</v>
      </c>
      <c r="AG147" s="11">
        <v>13.186999999999999</v>
      </c>
      <c r="BT147" s="56">
        <v>40179</v>
      </c>
      <c r="BU147" s="8">
        <v>0</v>
      </c>
      <c r="BV147" s="8">
        <v>883.05159759521507</v>
      </c>
      <c r="BW147" s="8">
        <v>0</v>
      </c>
      <c r="DW147" s="56">
        <v>40210</v>
      </c>
      <c r="DX147">
        <v>230.66638560593137</v>
      </c>
      <c r="DY147">
        <v>0</v>
      </c>
      <c r="DZ147" s="8">
        <v>0</v>
      </c>
      <c r="FE147" s="56">
        <v>40210</v>
      </c>
      <c r="FF147" s="8" t="e">
        <f>DX147+#REF!+#REF!</f>
        <v>#REF!</v>
      </c>
      <c r="FG147" s="8" t="e">
        <f>#REF!+DY147+#REF!</f>
        <v>#REF!</v>
      </c>
      <c r="FH147" s="8">
        <f t="shared" si="197"/>
        <v>0</v>
      </c>
    </row>
    <row r="148" spans="28:167" x14ac:dyDescent="0.25">
      <c r="AB148">
        <v>2010</v>
      </c>
      <c r="AC148">
        <v>8</v>
      </c>
      <c r="AD148" s="8">
        <v>130.98435987532142</v>
      </c>
      <c r="AE148" s="8">
        <v>26714.197296321396</v>
      </c>
      <c r="AF148" s="8">
        <v>0</v>
      </c>
      <c r="AG148" s="11">
        <v>24.187000000000001</v>
      </c>
      <c r="BT148" s="56">
        <v>40210</v>
      </c>
      <c r="BU148" s="8">
        <v>0</v>
      </c>
      <c r="BV148" s="8">
        <v>3662.3179321289099</v>
      </c>
      <c r="BW148" s="8">
        <v>0</v>
      </c>
      <c r="DW148" s="56">
        <v>40238</v>
      </c>
      <c r="DX148">
        <v>1394.5601115226746</v>
      </c>
      <c r="DY148">
        <v>0</v>
      </c>
      <c r="DZ148" s="8">
        <v>0</v>
      </c>
      <c r="FE148" s="56">
        <v>40238</v>
      </c>
      <c r="FF148" s="8" t="e">
        <f>DX148+#REF!+#REF!</f>
        <v>#REF!</v>
      </c>
      <c r="FG148" s="8" t="e">
        <f>#REF!+DY148+#REF!</f>
        <v>#REF!</v>
      </c>
      <c r="FH148" s="8">
        <f t="shared" si="197"/>
        <v>0</v>
      </c>
    </row>
    <row r="149" spans="28:167" x14ac:dyDescent="0.25">
      <c r="AB149">
        <v>2010</v>
      </c>
      <c r="AC149">
        <v>9</v>
      </c>
      <c r="AD149" s="8">
        <v>99.842914491891875</v>
      </c>
      <c r="AE149" s="8">
        <v>0</v>
      </c>
      <c r="AF149" s="8">
        <v>0</v>
      </c>
      <c r="AG149" s="11">
        <v>75.186999999999998</v>
      </c>
      <c r="AH149" s="11"/>
      <c r="AI149" s="11"/>
      <c r="BT149" s="56">
        <v>40238</v>
      </c>
      <c r="BU149" s="8">
        <v>1653.8017883300781</v>
      </c>
      <c r="BV149" s="8">
        <v>62.416553497314503</v>
      </c>
      <c r="BW149" s="8">
        <v>0</v>
      </c>
      <c r="DW149" s="56">
        <v>40269</v>
      </c>
      <c r="DX149">
        <v>1069.2106451392178</v>
      </c>
      <c r="DY149">
        <v>0</v>
      </c>
      <c r="DZ149" s="8">
        <v>0</v>
      </c>
      <c r="FE149" s="56">
        <v>40269</v>
      </c>
      <c r="FF149" s="8" t="e">
        <f>DX149+#REF!+#REF!</f>
        <v>#REF!</v>
      </c>
      <c r="FG149" s="8" t="e">
        <f>#REF!+DY149+#REF!</f>
        <v>#REF!</v>
      </c>
      <c r="FH149" s="8">
        <f t="shared" si="197"/>
        <v>0</v>
      </c>
    </row>
    <row r="150" spans="28:167" x14ac:dyDescent="0.25">
      <c r="AB150">
        <v>2010</v>
      </c>
      <c r="AC150">
        <v>10</v>
      </c>
      <c r="AD150" s="8">
        <v>5994.8120483159946</v>
      </c>
      <c r="AE150" s="8">
        <v>2</v>
      </c>
      <c r="AF150" s="8">
        <v>0</v>
      </c>
      <c r="AG150" s="11">
        <v>101.67</v>
      </c>
      <c r="AH150" s="11"/>
      <c r="AI150" s="11"/>
      <c r="BT150" s="56">
        <v>40269</v>
      </c>
      <c r="BU150" s="8">
        <v>1653.8028717041002</v>
      </c>
      <c r="BV150" s="8">
        <v>0</v>
      </c>
      <c r="BW150" s="8">
        <v>0</v>
      </c>
      <c r="DW150" s="56">
        <v>40299</v>
      </c>
      <c r="DX150">
        <v>106.1228893995285</v>
      </c>
      <c r="DY150">
        <v>0</v>
      </c>
      <c r="DZ150" s="8">
        <v>0</v>
      </c>
      <c r="FE150" s="56">
        <v>40299</v>
      </c>
      <c r="FF150" s="8" t="e">
        <f>DX150+#REF!+#REF!</f>
        <v>#REF!</v>
      </c>
      <c r="FG150" s="8" t="e">
        <f>#REF!+DY150+#REF!</f>
        <v>#REF!</v>
      </c>
      <c r="FH150" s="8">
        <f t="shared" si="197"/>
        <v>0</v>
      </c>
    </row>
    <row r="151" spans="28:167" x14ac:dyDescent="0.25">
      <c r="AB151">
        <v>2010</v>
      </c>
      <c r="AC151">
        <v>11</v>
      </c>
      <c r="AD151" s="8">
        <v>6428.5096179246912</v>
      </c>
      <c r="AE151" s="8">
        <v>70.745115220546793</v>
      </c>
      <c r="AF151" s="8">
        <v>0</v>
      </c>
      <c r="AG151" s="11">
        <v>101.67</v>
      </c>
      <c r="AH151" s="11"/>
      <c r="AI151" s="11"/>
      <c r="BT151" s="56">
        <v>40299</v>
      </c>
      <c r="BU151" s="8">
        <v>0</v>
      </c>
      <c r="BV151" s="8">
        <v>0</v>
      </c>
      <c r="BW151" s="8">
        <v>0</v>
      </c>
      <c r="DW151" s="56">
        <v>40330</v>
      </c>
      <c r="DX151">
        <v>0.176461771130562</v>
      </c>
      <c r="DY151">
        <v>0</v>
      </c>
      <c r="DZ151" s="8">
        <v>0</v>
      </c>
      <c r="FE151" s="56">
        <v>40330</v>
      </c>
      <c r="FF151" s="8" t="e">
        <f>DX151+#REF!+#REF!</f>
        <v>#REF!</v>
      </c>
      <c r="FG151" s="8" t="e">
        <f>#REF!+DY151+#REF!</f>
        <v>#REF!</v>
      </c>
      <c r="FH151" s="8">
        <f t="shared" si="197"/>
        <v>0</v>
      </c>
    </row>
    <row r="152" spans="28:167" x14ac:dyDescent="0.25">
      <c r="AB152">
        <v>2010</v>
      </c>
      <c r="AC152">
        <v>12</v>
      </c>
      <c r="AD152" s="8">
        <v>17940.829366683978</v>
      </c>
      <c r="AE152" s="8">
        <v>132.25528335571289</v>
      </c>
      <c r="AF152" s="8">
        <v>0</v>
      </c>
      <c r="AG152" s="11">
        <v>101.67</v>
      </c>
      <c r="BT152" s="56">
        <v>40330</v>
      </c>
      <c r="BU152" s="8">
        <v>0</v>
      </c>
      <c r="BV152" s="8">
        <v>0</v>
      </c>
      <c r="BW152" s="8">
        <v>0</v>
      </c>
      <c r="DW152" s="56">
        <v>40360</v>
      </c>
      <c r="DX152">
        <v>673.21273040771462</v>
      </c>
      <c r="DY152">
        <v>1506.706470489502</v>
      </c>
      <c r="DZ152" s="8">
        <v>56.932771563530011</v>
      </c>
      <c r="FE152" s="56">
        <v>40360</v>
      </c>
      <c r="FF152" s="8" t="e">
        <f>DX152+#REF!+#REF!</f>
        <v>#REF!</v>
      </c>
      <c r="FG152" s="8" t="e">
        <f>#REF!+DY152+#REF!</f>
        <v>#REF!</v>
      </c>
      <c r="FH152" s="8">
        <f t="shared" si="197"/>
        <v>56.932771563530011</v>
      </c>
    </row>
    <row r="153" spans="28:167" x14ac:dyDescent="0.25">
      <c r="AB153">
        <v>2011</v>
      </c>
      <c r="AC153">
        <v>1</v>
      </c>
      <c r="AD153" s="8">
        <v>75765.410675168037</v>
      </c>
      <c r="AE153" s="8">
        <v>596.99960708618164</v>
      </c>
      <c r="AF153" s="8">
        <v>0</v>
      </c>
      <c r="AG153" s="11">
        <v>101.67</v>
      </c>
      <c r="BT153" s="56">
        <v>40360</v>
      </c>
      <c r="BU153" s="8">
        <v>588.0974031686784</v>
      </c>
      <c r="BV153" s="8">
        <v>2129.2897338867201</v>
      </c>
      <c r="BW153" s="8">
        <v>0</v>
      </c>
      <c r="DW153" s="56">
        <v>40391</v>
      </c>
      <c r="DX153">
        <v>978.11605453491211</v>
      </c>
      <c r="DY153">
        <v>2493.29345703125</v>
      </c>
      <c r="DZ153" s="8">
        <v>75.938641548156781</v>
      </c>
      <c r="FE153" s="56">
        <v>40391</v>
      </c>
      <c r="FF153" s="8" t="e">
        <f>DX153+#REF!+#REF!</f>
        <v>#REF!</v>
      </c>
      <c r="FG153" s="8" t="e">
        <f>#REF!+DY153+#REF!</f>
        <v>#REF!</v>
      </c>
      <c r="FH153" s="8">
        <f t="shared" si="197"/>
        <v>75.938641548156781</v>
      </c>
    </row>
    <row r="154" spans="28:167" x14ac:dyDescent="0.25">
      <c r="AB154">
        <v>2011</v>
      </c>
      <c r="AC154">
        <v>2</v>
      </c>
      <c r="AD154" s="8">
        <v>72987.429922819123</v>
      </c>
      <c r="AE154" s="8">
        <v>0</v>
      </c>
      <c r="AF154" s="8">
        <v>0</v>
      </c>
      <c r="AG154" s="11">
        <v>101.67</v>
      </c>
      <c r="BT154" s="56">
        <v>40391</v>
      </c>
      <c r="BU154" s="8">
        <v>0</v>
      </c>
      <c r="BV154" s="8">
        <v>13670.71058654785</v>
      </c>
      <c r="BW154" s="8">
        <v>0</v>
      </c>
      <c r="DW154" s="56">
        <v>40422</v>
      </c>
      <c r="DX154">
        <v>196.88399505615251</v>
      </c>
      <c r="DY154">
        <v>0</v>
      </c>
      <c r="DZ154" s="8">
        <v>118.52027893066408</v>
      </c>
      <c r="FE154" s="56">
        <v>40422</v>
      </c>
      <c r="FF154" s="8" t="e">
        <f>DX154+#REF!+#REF!</f>
        <v>#REF!</v>
      </c>
      <c r="FG154" s="8" t="e">
        <f>#REF!+DY154+#REF!</f>
        <v>#REF!</v>
      </c>
      <c r="FH154" s="8">
        <f t="shared" si="197"/>
        <v>118.52027893066408</v>
      </c>
    </row>
    <row r="155" spans="28:167" x14ac:dyDescent="0.25">
      <c r="AB155">
        <v>2011</v>
      </c>
      <c r="AC155">
        <v>3</v>
      </c>
      <c r="AD155" s="8">
        <v>59181.104122538134</v>
      </c>
      <c r="AE155" s="8">
        <v>0</v>
      </c>
      <c r="AF155" s="8">
        <v>0</v>
      </c>
      <c r="AG155" s="11">
        <v>101.67</v>
      </c>
      <c r="AH155" s="11">
        <f>SUM(AD147:AD155)</f>
        <v>239248.15699941292</v>
      </c>
      <c r="AI155" s="11">
        <f>SUM(AE147:AE155)</f>
        <v>28409.999975323681</v>
      </c>
      <c r="BT155" s="56">
        <v>40422</v>
      </c>
      <c r="BU155" s="8">
        <v>0</v>
      </c>
      <c r="BV155" s="8">
        <v>0</v>
      </c>
      <c r="BW155" s="8">
        <v>0</v>
      </c>
      <c r="DW155" s="56">
        <v>40452</v>
      </c>
      <c r="DX155">
        <v>1804.5541353225717</v>
      </c>
      <c r="DY155">
        <v>0</v>
      </c>
      <c r="DZ155" s="8">
        <v>373.48283737897793</v>
      </c>
      <c r="FE155" s="56">
        <v>40452</v>
      </c>
      <c r="FF155" s="8" t="e">
        <f>DX155+#REF!+#REF!</f>
        <v>#REF!</v>
      </c>
      <c r="FG155" s="8" t="e">
        <f>#REF!+DY155+#REF!</f>
        <v>#REF!</v>
      </c>
      <c r="FH155" s="8">
        <f t="shared" si="197"/>
        <v>373.48283737897793</v>
      </c>
    </row>
    <row r="156" spans="28:167" x14ac:dyDescent="0.25">
      <c r="AB156">
        <v>2011</v>
      </c>
      <c r="AC156">
        <v>4</v>
      </c>
      <c r="AD156" s="8">
        <v>20012.460595756769</v>
      </c>
      <c r="AE156" s="8">
        <v>0</v>
      </c>
      <c r="AF156" s="8">
        <v>0</v>
      </c>
      <c r="AG156" s="11">
        <v>101.67</v>
      </c>
      <c r="BT156" s="56">
        <v>40452</v>
      </c>
      <c r="BU156" s="8">
        <v>0</v>
      </c>
      <c r="BV156" s="8">
        <v>0</v>
      </c>
      <c r="BW156" s="8">
        <v>0</v>
      </c>
      <c r="DW156" s="56">
        <v>40483</v>
      </c>
      <c r="DX156">
        <v>7947.4876525402087</v>
      </c>
      <c r="DY156">
        <v>0</v>
      </c>
      <c r="DZ156" s="8">
        <v>440.44011020660395</v>
      </c>
      <c r="EA156" s="56">
        <f>DW156</f>
        <v>40483</v>
      </c>
      <c r="EB156" s="8">
        <f>SUM(DZ152:DZ160)</f>
        <v>3961.8704681992513</v>
      </c>
      <c r="EC156" s="8">
        <f>SUM(DX152:DX160)</f>
        <v>110379.55266344546</v>
      </c>
      <c r="ED156" s="8">
        <f>SUM(DY152:DY160)</f>
        <v>4044.999927520752</v>
      </c>
      <c r="FE156" s="56">
        <v>40483</v>
      </c>
      <c r="FF156" s="8" t="e">
        <f>DX156+#REF!+#REF!</f>
        <v>#REF!</v>
      </c>
      <c r="FG156" s="8" t="e">
        <f>#REF!+DY156+#REF!</f>
        <v>#REF!</v>
      </c>
      <c r="FH156" s="8">
        <f t="shared" si="197"/>
        <v>440.44011020660395</v>
      </c>
      <c r="FI156" s="8" t="e">
        <f>SUM(FF152:FF160)</f>
        <v>#REF!</v>
      </c>
      <c r="FJ156" s="8" t="e">
        <f>SUM(FG152:FG160)</f>
        <v>#REF!</v>
      </c>
      <c r="FK156" s="8">
        <f>SUM(FH152:FH160)</f>
        <v>3961.8704681992513</v>
      </c>
    </row>
    <row r="157" spans="28:167" x14ac:dyDescent="0.25">
      <c r="AB157">
        <v>2011</v>
      </c>
      <c r="AC157">
        <v>5</v>
      </c>
      <c r="AD157" s="8">
        <v>769.18383577465977</v>
      </c>
      <c r="AE157" s="8">
        <v>0</v>
      </c>
      <c r="AF157" s="8">
        <v>0</v>
      </c>
      <c r="AG157" s="11">
        <v>101.67</v>
      </c>
      <c r="BT157" s="56">
        <v>40483</v>
      </c>
      <c r="BU157" s="8">
        <v>1069.224945068361</v>
      </c>
      <c r="BV157" s="8">
        <v>0</v>
      </c>
      <c r="BW157" s="8">
        <v>0</v>
      </c>
      <c r="BX157" s="8">
        <f>SUM(BW153:BW161)</f>
        <v>0</v>
      </c>
      <c r="BY157" s="8">
        <f>SUM(BU153:BU161)</f>
        <v>106822.76210653766</v>
      </c>
      <c r="BZ157" s="8">
        <f>SUM(BV145:BV156)</f>
        <v>25319.031002044678</v>
      </c>
      <c r="DW157" s="56">
        <v>40513</v>
      </c>
      <c r="DX157">
        <v>5947.2028455734253</v>
      </c>
      <c r="DY157">
        <v>45</v>
      </c>
      <c r="DZ157" s="8">
        <v>385.86788988113369</v>
      </c>
      <c r="FE157" s="56">
        <v>40513</v>
      </c>
      <c r="FF157" s="8" t="e">
        <f>DX157+#REF!+#REF!</f>
        <v>#REF!</v>
      </c>
      <c r="FG157" s="8" t="e">
        <f>#REF!+DY157+#REF!</f>
        <v>#REF!</v>
      </c>
      <c r="FH157" s="8">
        <f t="shared" si="197"/>
        <v>385.86788988113369</v>
      </c>
    </row>
    <row r="158" spans="28:167" x14ac:dyDescent="0.25">
      <c r="AB158">
        <v>2011</v>
      </c>
      <c r="AC158">
        <v>6</v>
      </c>
      <c r="AD158" s="8">
        <v>0.36259895563125599</v>
      </c>
      <c r="AE158" s="8">
        <v>0</v>
      </c>
      <c r="AF158" s="8">
        <v>0</v>
      </c>
      <c r="AG158" s="11">
        <v>101.67</v>
      </c>
      <c r="BT158" s="56">
        <v>40513</v>
      </c>
      <c r="BU158" s="8">
        <v>6953.9640045166088</v>
      </c>
      <c r="BV158" s="8">
        <v>0</v>
      </c>
      <c r="BW158" s="8">
        <v>0</v>
      </c>
      <c r="DW158" s="56">
        <v>40544</v>
      </c>
      <c r="DX158">
        <v>38349.098001480066</v>
      </c>
      <c r="DY158">
        <v>0</v>
      </c>
      <c r="DZ158" s="8">
        <v>1447.4781761169427</v>
      </c>
      <c r="FE158" s="56">
        <v>40544</v>
      </c>
      <c r="FF158" s="8" t="e">
        <f>DX158+#REF!+#REF!</f>
        <v>#REF!</v>
      </c>
      <c r="FG158" s="8" t="e">
        <f>#REF!+DY158+#REF!</f>
        <v>#REF!</v>
      </c>
      <c r="FH158" s="8">
        <f t="shared" si="197"/>
        <v>1447.4781761169427</v>
      </c>
    </row>
    <row r="159" spans="28:167" x14ac:dyDescent="0.25">
      <c r="AB159">
        <v>2011</v>
      </c>
      <c r="AC159">
        <v>7</v>
      </c>
      <c r="AD159" s="8">
        <v>68.765934526920276</v>
      </c>
      <c r="AE159" s="8">
        <v>0</v>
      </c>
      <c r="AF159" s="8">
        <v>0</v>
      </c>
      <c r="AG159" s="11">
        <v>72.192999999999998</v>
      </c>
      <c r="BT159" s="56">
        <v>40544</v>
      </c>
      <c r="BU159" s="8">
        <v>39116.851623535054</v>
      </c>
      <c r="BV159" s="8">
        <v>0</v>
      </c>
      <c r="BW159" s="8">
        <v>0</v>
      </c>
      <c r="DW159" s="56">
        <v>40575</v>
      </c>
      <c r="DX159">
        <v>30339.537899017352</v>
      </c>
      <c r="DY159">
        <v>0</v>
      </c>
      <c r="DZ159" s="8">
        <v>1063.2097625732422</v>
      </c>
      <c r="FE159" s="56">
        <v>40575</v>
      </c>
      <c r="FF159" s="8" t="e">
        <f>DX159+#REF!+#REF!</f>
        <v>#REF!</v>
      </c>
      <c r="FG159" s="8" t="e">
        <f>#REF!+DY159+#REF!</f>
        <v>#REF!</v>
      </c>
      <c r="FH159" s="8">
        <f t="shared" si="197"/>
        <v>1063.2097625732422</v>
      </c>
    </row>
    <row r="160" spans="28:167" x14ac:dyDescent="0.25">
      <c r="AB160">
        <v>2011</v>
      </c>
      <c r="AC160">
        <v>8</v>
      </c>
      <c r="AD160" s="8">
        <v>87.870062053203569</v>
      </c>
      <c r="AE160" s="8">
        <v>192.2585155963898</v>
      </c>
      <c r="AF160" s="8">
        <v>0</v>
      </c>
      <c r="AG160" s="11">
        <v>73.191999999999993</v>
      </c>
      <c r="BT160" s="56">
        <v>40575</v>
      </c>
      <c r="BU160" s="8">
        <v>32936.407722473079</v>
      </c>
      <c r="BV160" s="8">
        <v>0</v>
      </c>
      <c r="BW160" s="8">
        <v>0</v>
      </c>
      <c r="DW160" s="56">
        <v>40603</v>
      </c>
      <c r="DX160">
        <v>24143.459349513054</v>
      </c>
      <c r="DY160">
        <v>0</v>
      </c>
      <c r="DZ160" s="8">
        <v>0</v>
      </c>
      <c r="FE160" s="56">
        <v>40603</v>
      </c>
      <c r="FF160" s="8" t="e">
        <f>DX160+#REF!+#REF!</f>
        <v>#REF!</v>
      </c>
      <c r="FG160" s="8" t="e">
        <f>#REF!+DY160+#REF!</f>
        <v>#REF!</v>
      </c>
      <c r="FH160" s="8">
        <f t="shared" si="197"/>
        <v>0</v>
      </c>
    </row>
    <row r="161" spans="28:167" x14ac:dyDescent="0.25">
      <c r="AB161">
        <v>2011</v>
      </c>
      <c r="AC161">
        <v>9</v>
      </c>
      <c r="AD161" s="8">
        <v>59.010103613138277</v>
      </c>
      <c r="AE161" s="8">
        <v>0</v>
      </c>
      <c r="AF161" s="8">
        <v>0</v>
      </c>
      <c r="AG161" s="11">
        <v>73.192999999999998</v>
      </c>
      <c r="AH161" s="11"/>
      <c r="AI161" s="11"/>
      <c r="BT161" s="56">
        <v>40603</v>
      </c>
      <c r="BU161" s="8">
        <v>26158.216407775879</v>
      </c>
      <c r="BV161" s="8">
        <v>0</v>
      </c>
      <c r="BW161" s="8">
        <v>0</v>
      </c>
      <c r="DW161" s="56">
        <v>40634</v>
      </c>
      <c r="DX161">
        <v>10650.158059120178</v>
      </c>
      <c r="DY161">
        <v>0</v>
      </c>
      <c r="DZ161" s="8">
        <v>0</v>
      </c>
      <c r="FE161" s="56">
        <v>40634</v>
      </c>
      <c r="FF161" s="8" t="e">
        <f>DX161+#REF!+#REF!</f>
        <v>#REF!</v>
      </c>
      <c r="FG161" s="8" t="e">
        <f>#REF!+DY161+#REF!</f>
        <v>#REF!</v>
      </c>
      <c r="FH161" s="8">
        <f t="shared" si="197"/>
        <v>0</v>
      </c>
    </row>
    <row r="162" spans="28:167" x14ac:dyDescent="0.25">
      <c r="AB162">
        <v>2011</v>
      </c>
      <c r="AC162">
        <v>10</v>
      </c>
      <c r="AD162" s="8">
        <v>6.2396128177642796</v>
      </c>
      <c r="AE162" s="8">
        <v>0</v>
      </c>
      <c r="AF162" s="8">
        <v>0</v>
      </c>
      <c r="AG162" s="11">
        <v>73.192999999999998</v>
      </c>
      <c r="AH162" s="11"/>
      <c r="AI162" s="11"/>
      <c r="BT162" s="56">
        <v>40634</v>
      </c>
      <c r="BU162" s="8">
        <v>10348.87650346756</v>
      </c>
      <c r="BV162" s="8">
        <v>0</v>
      </c>
      <c r="BW162" s="8">
        <v>0</v>
      </c>
      <c r="DW162" s="56">
        <v>40664</v>
      </c>
      <c r="DX162">
        <v>2175.8502123355856</v>
      </c>
      <c r="DY162">
        <v>0</v>
      </c>
      <c r="DZ162" s="8">
        <v>0</v>
      </c>
      <c r="FE162" s="56">
        <v>40664</v>
      </c>
      <c r="FF162" s="8" t="e">
        <f>DX162+#REF!+#REF!</f>
        <v>#REF!</v>
      </c>
      <c r="FG162" s="8" t="e">
        <f>#REF!+DY162+#REF!</f>
        <v>#REF!</v>
      </c>
      <c r="FH162" s="8">
        <f t="shared" si="197"/>
        <v>0</v>
      </c>
    </row>
    <row r="163" spans="28:167" x14ac:dyDescent="0.25">
      <c r="AB163">
        <v>2011</v>
      </c>
      <c r="AC163">
        <v>11</v>
      </c>
      <c r="AD163" s="8">
        <v>5784.9157848954192</v>
      </c>
      <c r="AE163" s="8">
        <v>4816.0128097534216</v>
      </c>
      <c r="AF163" s="8">
        <v>0</v>
      </c>
      <c r="AG163" s="11">
        <v>73.192999999999998</v>
      </c>
      <c r="AH163" s="11"/>
      <c r="AI163" s="11"/>
      <c r="BT163" s="56">
        <v>40664</v>
      </c>
      <c r="BU163" s="8">
        <v>1012.8605585098267</v>
      </c>
      <c r="BV163" s="8">
        <v>0</v>
      </c>
      <c r="BW163" s="8">
        <v>0</v>
      </c>
      <c r="DW163" s="56">
        <v>40695</v>
      </c>
      <c r="DX163">
        <v>44.78041982650754</v>
      </c>
      <c r="DY163">
        <v>0</v>
      </c>
      <c r="DZ163" s="8">
        <v>0</v>
      </c>
      <c r="FE163" s="56">
        <v>40695</v>
      </c>
      <c r="FF163" s="8" t="e">
        <f>DX163+#REF!+#REF!</f>
        <v>#REF!</v>
      </c>
      <c r="FG163" s="8" t="e">
        <f>#REF!+DY163+#REF!</f>
        <v>#REF!</v>
      </c>
      <c r="FH163" s="8">
        <f t="shared" si="197"/>
        <v>0</v>
      </c>
    </row>
    <row r="164" spans="28:167" x14ac:dyDescent="0.25">
      <c r="AB164">
        <v>2011</v>
      </c>
      <c r="AC164">
        <v>12</v>
      </c>
      <c r="AD164" s="8">
        <v>29154.045153371993</v>
      </c>
      <c r="AE164" s="8">
        <v>1627.533283233643</v>
      </c>
      <c r="AF164" s="8">
        <v>0</v>
      </c>
      <c r="AG164" s="11">
        <v>82.192999999999998</v>
      </c>
      <c r="BT164" s="56">
        <v>40695</v>
      </c>
      <c r="BU164" s="8">
        <v>0</v>
      </c>
      <c r="BV164" s="8">
        <v>0</v>
      </c>
      <c r="BW164" s="8">
        <v>0</v>
      </c>
      <c r="DW164" s="56">
        <v>40725</v>
      </c>
      <c r="DX164">
        <v>605.4046249389645</v>
      </c>
      <c r="DY164">
        <v>0</v>
      </c>
      <c r="DZ164" s="8">
        <v>56.932771563530011</v>
      </c>
      <c r="FE164" s="56">
        <v>40725</v>
      </c>
      <c r="FF164" s="8" t="e">
        <f>DX164+#REF!+#REF!</f>
        <v>#REF!</v>
      </c>
      <c r="FG164" s="8" t="e">
        <f>#REF!+DY164+#REF!</f>
        <v>#REF!</v>
      </c>
      <c r="FH164" s="8">
        <f t="shared" si="197"/>
        <v>56.932771563530011</v>
      </c>
    </row>
    <row r="165" spans="28:167" x14ac:dyDescent="0.25">
      <c r="AB165">
        <v>2012</v>
      </c>
      <c r="AC165">
        <v>1</v>
      </c>
      <c r="AD165" s="8">
        <v>50159.20529993996</v>
      </c>
      <c r="AE165" s="8">
        <v>168.15606880188</v>
      </c>
      <c r="AF165" s="8">
        <v>0</v>
      </c>
      <c r="AG165" s="11">
        <v>107.19</v>
      </c>
      <c r="BT165" s="56">
        <v>40725</v>
      </c>
      <c r="BU165" s="8">
        <v>0</v>
      </c>
      <c r="BV165" s="8">
        <v>0</v>
      </c>
      <c r="BW165" s="8">
        <v>0</v>
      </c>
      <c r="DW165" s="56">
        <v>40756</v>
      </c>
      <c r="DX165">
        <v>357.87437212467182</v>
      </c>
      <c r="DY165">
        <v>0</v>
      </c>
      <c r="DZ165" s="8">
        <v>75.938641548156781</v>
      </c>
      <c r="FE165" s="56">
        <v>40756</v>
      </c>
      <c r="FF165" s="8" t="e">
        <f>DX165+#REF!+#REF!</f>
        <v>#REF!</v>
      </c>
      <c r="FG165" s="8" t="e">
        <f>#REF!+DY165+#REF!</f>
        <v>#REF!</v>
      </c>
      <c r="FH165" s="8">
        <f t="shared" si="197"/>
        <v>75.938641548156781</v>
      </c>
    </row>
    <row r="166" spans="28:167" x14ac:dyDescent="0.25">
      <c r="AB166">
        <v>2012</v>
      </c>
      <c r="AC166">
        <v>2</v>
      </c>
      <c r="AD166" s="8">
        <v>42226.140722870827</v>
      </c>
      <c r="AE166" s="8">
        <v>962.70432281494095</v>
      </c>
      <c r="AF166" s="8">
        <v>0</v>
      </c>
      <c r="AG166" s="11">
        <v>109.19</v>
      </c>
      <c r="BT166" s="56">
        <v>40756</v>
      </c>
      <c r="BU166" s="8">
        <v>0</v>
      </c>
      <c r="BV166" s="8">
        <v>0</v>
      </c>
      <c r="BW166" s="8">
        <v>0</v>
      </c>
      <c r="DW166" s="56">
        <v>40787</v>
      </c>
      <c r="DX166">
        <v>136.65589618682861</v>
      </c>
      <c r="DY166">
        <v>0</v>
      </c>
      <c r="DZ166" s="8">
        <v>118.52027893066408</v>
      </c>
      <c r="FE166" s="56">
        <v>40787</v>
      </c>
      <c r="FF166" s="8" t="e">
        <f>DX166+#REF!+#REF!</f>
        <v>#REF!</v>
      </c>
      <c r="FG166" s="8" t="e">
        <f>#REF!+DY166+#REF!</f>
        <v>#REF!</v>
      </c>
      <c r="FH166" s="8">
        <f t="shared" si="197"/>
        <v>118.52027893066408</v>
      </c>
    </row>
    <row r="167" spans="28:167" x14ac:dyDescent="0.25">
      <c r="AB167">
        <v>2012</v>
      </c>
      <c r="AC167">
        <v>3</v>
      </c>
      <c r="AD167" s="8">
        <v>13134.807778954511</v>
      </c>
      <c r="AE167" s="8">
        <v>18289.903732240215</v>
      </c>
      <c r="AF167" s="8">
        <v>0</v>
      </c>
      <c r="AG167" s="11">
        <v>120.19</v>
      </c>
      <c r="AH167" s="11">
        <f>SUM(AD159:AD167)</f>
        <v>140681.00045304373</v>
      </c>
      <c r="AI167" s="11">
        <f>SUM(AE159:AE167)</f>
        <v>26056.56873244049</v>
      </c>
      <c r="BT167" s="56">
        <v>40787</v>
      </c>
      <c r="BU167" s="8">
        <v>0</v>
      </c>
      <c r="BV167" s="8">
        <v>0</v>
      </c>
      <c r="BW167" s="8">
        <v>0</v>
      </c>
      <c r="DW167" s="56">
        <v>40817</v>
      </c>
      <c r="DX167">
        <v>75.542596340179401</v>
      </c>
      <c r="DY167">
        <v>0</v>
      </c>
      <c r="DZ167" s="8">
        <v>537.8969159126267</v>
      </c>
      <c r="FE167" s="56">
        <v>40817</v>
      </c>
      <c r="FF167" s="8" t="e">
        <f>DX167+#REF!+#REF!</f>
        <v>#REF!</v>
      </c>
      <c r="FG167" s="8" t="e">
        <f>#REF!+DY167+#REF!</f>
        <v>#REF!</v>
      </c>
      <c r="FH167" s="8">
        <f t="shared" si="197"/>
        <v>537.8969159126267</v>
      </c>
    </row>
    <row r="168" spans="28:167" x14ac:dyDescent="0.25">
      <c r="AB168">
        <v>2012</v>
      </c>
      <c r="AC168">
        <v>4</v>
      </c>
      <c r="AD168" s="8">
        <v>13355.722962737085</v>
      </c>
      <c r="AE168" s="8">
        <v>116.3260111808777</v>
      </c>
      <c r="AF168" s="8">
        <v>0</v>
      </c>
      <c r="AG168" s="11">
        <v>102.16</v>
      </c>
      <c r="BT168" s="56">
        <v>40817</v>
      </c>
      <c r="BU168" s="8">
        <v>0</v>
      </c>
      <c r="BV168" s="8">
        <v>0</v>
      </c>
      <c r="BW168" s="8">
        <v>0</v>
      </c>
      <c r="DW168" s="56">
        <v>40848</v>
      </c>
      <c r="DX168">
        <v>1955.6216716766362</v>
      </c>
      <c r="DY168">
        <v>1621.576232910154</v>
      </c>
      <c r="DZ168" s="8">
        <v>509.11914253234869</v>
      </c>
      <c r="EA168" s="56">
        <f>DW168</f>
        <v>40848</v>
      </c>
      <c r="EB168" s="8">
        <f>SUM(DZ164:DZ172)</f>
        <v>4655.0262368917447</v>
      </c>
      <c r="EC168" s="8">
        <f>SUM(DX164:DX172)</f>
        <v>50162.686703801155</v>
      </c>
      <c r="ED168" s="8">
        <f>SUM(DY164:DY172)</f>
        <v>4045.0005648136116</v>
      </c>
      <c r="FE168" s="56">
        <v>40848</v>
      </c>
      <c r="FF168" s="8" t="e">
        <f>DX168+#REF!+#REF!</f>
        <v>#REF!</v>
      </c>
      <c r="FG168" s="8" t="e">
        <f>#REF!+DY168+#REF!</f>
        <v>#REF!</v>
      </c>
      <c r="FH168" s="8">
        <f t="shared" si="197"/>
        <v>509.11914253234869</v>
      </c>
      <c r="FI168" s="8" t="e">
        <f>SUM(FF164:FF172)</f>
        <v>#REF!</v>
      </c>
      <c r="FJ168" s="8" t="e">
        <f>SUM(FG164:FG172)</f>
        <v>#REF!</v>
      </c>
      <c r="FK168" s="8">
        <f>SUM(FH164:FH172)</f>
        <v>4655.0262368917447</v>
      </c>
    </row>
    <row r="169" spans="28:167" x14ac:dyDescent="0.25">
      <c r="AB169">
        <v>2012</v>
      </c>
      <c r="AC169">
        <v>5</v>
      </c>
      <c r="AD169" s="8">
        <v>224.02767735719684</v>
      </c>
      <c r="AE169" s="8">
        <v>2.5649822601117216</v>
      </c>
      <c r="AF169" s="8">
        <v>0</v>
      </c>
      <c r="AG169" s="11">
        <v>102.16</v>
      </c>
      <c r="BT169" s="56">
        <v>40848</v>
      </c>
      <c r="BU169" s="8">
        <v>2306.246501922607</v>
      </c>
      <c r="BV169" s="8">
        <v>4204.1066818237296</v>
      </c>
      <c r="BW169" s="8">
        <v>0</v>
      </c>
      <c r="BX169" s="8">
        <f>SUM(BW165:BW173)</f>
        <v>0</v>
      </c>
      <c r="BY169" s="8">
        <f>SUM(BU165:BU173)</f>
        <v>71888.567722320498</v>
      </c>
      <c r="BZ169" s="8">
        <f>SUM(BV157:BV168)</f>
        <v>0</v>
      </c>
      <c r="DW169" s="56">
        <v>40878</v>
      </c>
      <c r="DX169">
        <v>11051.78996014595</v>
      </c>
      <c r="DY169">
        <v>527.1772615909573</v>
      </c>
      <c r="DZ169" s="8">
        <v>1023.792249679565</v>
      </c>
      <c r="FE169" s="56">
        <v>40878</v>
      </c>
      <c r="FF169" s="8" t="e">
        <f>DX169+#REF!+#REF!</f>
        <v>#REF!</v>
      </c>
      <c r="FG169" s="8" t="e">
        <f>#REF!+DY169+#REF!</f>
        <v>#REF!</v>
      </c>
      <c r="FH169" s="8">
        <f t="shared" si="197"/>
        <v>1023.792249679565</v>
      </c>
    </row>
    <row r="170" spans="28:167" x14ac:dyDescent="0.25">
      <c r="AB170">
        <v>2012</v>
      </c>
      <c r="AC170">
        <v>6</v>
      </c>
      <c r="AD170" s="8">
        <v>4.3717210292816153</v>
      </c>
      <c r="AE170" s="8">
        <v>0</v>
      </c>
      <c r="AF170" s="8">
        <v>0</v>
      </c>
      <c r="AG170" s="11">
        <v>102.16</v>
      </c>
      <c r="BT170" s="56">
        <v>40878</v>
      </c>
      <c r="BU170" s="8">
        <v>15026.766208648683</v>
      </c>
      <c r="BV170" s="8">
        <v>1578.5447692871101</v>
      </c>
      <c r="BW170" s="8">
        <v>0</v>
      </c>
      <c r="DW170" s="56">
        <v>40909</v>
      </c>
      <c r="DX170">
        <v>16138.745134115219</v>
      </c>
      <c r="DY170">
        <v>0</v>
      </c>
      <c r="DZ170" s="8">
        <v>726.83352279663075</v>
      </c>
      <c r="FE170" s="56">
        <v>40909</v>
      </c>
      <c r="FF170" s="8" t="e">
        <f>DX170+#REF!+#REF!</f>
        <v>#REF!</v>
      </c>
      <c r="FG170" s="8" t="e">
        <f>#REF!+DY170+#REF!</f>
        <v>#REF!</v>
      </c>
      <c r="FH170" s="8">
        <f t="shared" si="197"/>
        <v>726.83352279663075</v>
      </c>
    </row>
    <row r="171" spans="28:167" x14ac:dyDescent="0.25">
      <c r="AB171">
        <v>2012</v>
      </c>
      <c r="AC171">
        <v>7</v>
      </c>
      <c r="AD171" s="8">
        <v>6.6564472317695609</v>
      </c>
      <c r="AE171" s="8">
        <v>9977.7006340026819</v>
      </c>
      <c r="AF171" s="8">
        <v>0</v>
      </c>
      <c r="AG171" s="11">
        <v>124.21</v>
      </c>
      <c r="BT171" s="56">
        <v>40909</v>
      </c>
      <c r="BU171" s="8">
        <v>24727.442970275879</v>
      </c>
      <c r="BV171" s="8">
        <v>29.479066848754901</v>
      </c>
      <c r="BW171" s="8">
        <v>0</v>
      </c>
      <c r="DW171" s="56">
        <v>40940</v>
      </c>
      <c r="DX171">
        <v>17109.980236053467</v>
      </c>
      <c r="DY171">
        <v>402.6040039062504</v>
      </c>
      <c r="DZ171" s="8">
        <v>0</v>
      </c>
      <c r="FE171" s="56">
        <v>40940</v>
      </c>
      <c r="FF171" s="8" t="e">
        <f>DX171+#REF!+#REF!</f>
        <v>#REF!</v>
      </c>
      <c r="FG171" s="8" t="e">
        <f>#REF!+DY171+#REF!</f>
        <v>#REF!</v>
      </c>
      <c r="FH171" s="8">
        <f t="shared" si="197"/>
        <v>0</v>
      </c>
    </row>
    <row r="172" spans="28:167" x14ac:dyDescent="0.25">
      <c r="AB172">
        <v>2012</v>
      </c>
      <c r="AC172">
        <v>8</v>
      </c>
      <c r="AD172" s="8">
        <v>11.601386874914168</v>
      </c>
      <c r="AE172" s="8">
        <v>0</v>
      </c>
      <c r="AF172" s="8">
        <v>0</v>
      </c>
      <c r="AG172" s="11">
        <v>102.16</v>
      </c>
      <c r="BT172" s="56">
        <v>40940</v>
      </c>
      <c r="BU172" s="8">
        <v>27766.27639389033</v>
      </c>
      <c r="BV172" s="8">
        <v>818.46572875976597</v>
      </c>
      <c r="BW172" s="8">
        <v>0</v>
      </c>
      <c r="DW172" s="56">
        <v>40969</v>
      </c>
      <c r="DX172">
        <v>2731.0722122192387</v>
      </c>
      <c r="DY172">
        <v>1493.64306640625</v>
      </c>
      <c r="DZ172" s="8">
        <v>1605.9927139282229</v>
      </c>
      <c r="FE172" s="56">
        <v>40969</v>
      </c>
      <c r="FF172" s="8" t="e">
        <f>DX172+#REF!+#REF!</f>
        <v>#REF!</v>
      </c>
      <c r="FG172" s="8" t="e">
        <f>#REF!+DY172+#REF!</f>
        <v>#REF!</v>
      </c>
      <c r="FH172" s="8">
        <f t="shared" si="197"/>
        <v>1605.9927139282229</v>
      </c>
    </row>
    <row r="173" spans="28:167" x14ac:dyDescent="0.25">
      <c r="AB173">
        <v>2012</v>
      </c>
      <c r="AC173">
        <v>9</v>
      </c>
      <c r="AD173" s="8">
        <v>38.118963912129502</v>
      </c>
      <c r="AE173" s="8">
        <v>6.6336806863546399E-2</v>
      </c>
      <c r="AF173" s="8">
        <v>0</v>
      </c>
      <c r="AG173" s="11">
        <v>102.16</v>
      </c>
      <c r="AH173" s="11"/>
      <c r="AI173" s="11"/>
      <c r="BT173" s="56">
        <v>40969</v>
      </c>
      <c r="BU173" s="8">
        <v>2061.8356475830083</v>
      </c>
      <c r="BV173" s="8">
        <v>9169.4035644531305</v>
      </c>
      <c r="BW173" s="8">
        <v>0</v>
      </c>
      <c r="DW173" s="56">
        <v>41000</v>
      </c>
      <c r="DX173">
        <v>6884.3409519195493</v>
      </c>
      <c r="DY173">
        <v>0</v>
      </c>
      <c r="DZ173" s="8">
        <v>450.58876514434792</v>
      </c>
      <c r="FE173" s="56">
        <v>41000</v>
      </c>
      <c r="FF173" s="8" t="e">
        <f>DX173+#REF!+#REF!</f>
        <v>#REF!</v>
      </c>
      <c r="FG173" s="8" t="e">
        <f>#REF!+DY173+#REF!</f>
        <v>#REF!</v>
      </c>
      <c r="FH173" s="8">
        <f t="shared" si="197"/>
        <v>450.58876514434792</v>
      </c>
    </row>
    <row r="174" spans="28:167" x14ac:dyDescent="0.25">
      <c r="AB174">
        <v>2012</v>
      </c>
      <c r="AC174">
        <v>10</v>
      </c>
      <c r="AD174" s="8">
        <v>1165.1725140810013</v>
      </c>
      <c r="AE174" s="8">
        <v>0</v>
      </c>
      <c r="AF174" s="8">
        <v>0</v>
      </c>
      <c r="AG174" s="11">
        <v>102.16</v>
      </c>
      <c r="AH174" s="11"/>
      <c r="AI174" s="11"/>
      <c r="BT174" s="56">
        <v>41000</v>
      </c>
      <c r="BU174" s="8">
        <v>7997.1582260131836</v>
      </c>
      <c r="BV174" s="8">
        <v>0</v>
      </c>
      <c r="BW174" s="8">
        <v>0</v>
      </c>
      <c r="DW174" s="56">
        <v>41030</v>
      </c>
      <c r="DX174">
        <v>342.62112283706637</v>
      </c>
      <c r="DY174">
        <v>0</v>
      </c>
      <c r="DZ174" s="8">
        <v>3.1612899303436199</v>
      </c>
      <c r="FE174" s="56">
        <v>41030</v>
      </c>
      <c r="FF174" s="8" t="e">
        <f>DX174+#REF!+#REF!</f>
        <v>#REF!</v>
      </c>
      <c r="FG174" s="8" t="e">
        <f>#REF!+DY174+#REF!</f>
        <v>#REF!</v>
      </c>
      <c r="FH174" s="8">
        <f t="shared" si="197"/>
        <v>3.1612899303436199</v>
      </c>
    </row>
    <row r="175" spans="28:167" x14ac:dyDescent="0.25">
      <c r="AB175">
        <v>2012</v>
      </c>
      <c r="AC175">
        <v>11</v>
      </c>
      <c r="AD175" s="8">
        <v>31691.083548784234</v>
      </c>
      <c r="AE175" s="8">
        <v>0</v>
      </c>
      <c r="AF175" s="8">
        <v>0</v>
      </c>
      <c r="AG175" s="11">
        <v>102.16</v>
      </c>
      <c r="AH175" s="11"/>
      <c r="AI175" s="11"/>
      <c r="BT175" s="56">
        <v>41030</v>
      </c>
      <c r="BU175" s="8">
        <v>91.463807582855225</v>
      </c>
      <c r="BV175" s="8">
        <v>0</v>
      </c>
      <c r="BW175" s="8">
        <v>0</v>
      </c>
      <c r="DW175" s="56">
        <v>41061</v>
      </c>
      <c r="DX175">
        <v>0</v>
      </c>
      <c r="DY175">
        <v>0</v>
      </c>
      <c r="DZ175" s="8">
        <v>0</v>
      </c>
      <c r="FE175" s="56">
        <v>41061</v>
      </c>
      <c r="FF175" s="8" t="e">
        <f>DX175+#REF!+#REF!</f>
        <v>#REF!</v>
      </c>
      <c r="FG175" s="8" t="e">
        <f>#REF!+DY175+#REF!</f>
        <v>#REF!</v>
      </c>
      <c r="FH175" s="8">
        <f t="shared" si="197"/>
        <v>0</v>
      </c>
    </row>
    <row r="176" spans="28:167" x14ac:dyDescent="0.25">
      <c r="AB176">
        <v>2012</v>
      </c>
      <c r="AC176">
        <v>12</v>
      </c>
      <c r="AD176" s="8">
        <v>67021.984384171679</v>
      </c>
      <c r="AE176" s="8">
        <v>0</v>
      </c>
      <c r="AF176" s="8">
        <v>0</v>
      </c>
      <c r="AG176" s="11">
        <v>102.16</v>
      </c>
      <c r="BT176" s="56">
        <v>41061</v>
      </c>
      <c r="BU176" s="8">
        <v>0</v>
      </c>
      <c r="BV176" s="8">
        <v>0</v>
      </c>
      <c r="BW176" s="8">
        <v>0</v>
      </c>
      <c r="DW176" s="56">
        <v>41091</v>
      </c>
      <c r="DX176">
        <v>0</v>
      </c>
      <c r="DY176">
        <v>1572.520080566404</v>
      </c>
      <c r="DZ176" s="8">
        <v>0</v>
      </c>
      <c r="FE176" s="56">
        <v>41091</v>
      </c>
      <c r="FF176" s="8" t="e">
        <f>DX176+#REF!+#REF!</f>
        <v>#REF!</v>
      </c>
      <c r="FG176" s="8" t="e">
        <f>#REF!+DY176+#REF!</f>
        <v>#REF!</v>
      </c>
      <c r="FH176" s="8">
        <f t="shared" si="197"/>
        <v>0</v>
      </c>
    </row>
    <row r="177" spans="28:167" x14ac:dyDescent="0.25">
      <c r="AB177">
        <v>2013</v>
      </c>
      <c r="AC177">
        <v>1</v>
      </c>
      <c r="AD177" s="8">
        <v>76596.596687361045</v>
      </c>
      <c r="AE177" s="8">
        <v>55.2135009765625</v>
      </c>
      <c r="AF177" s="8">
        <v>0</v>
      </c>
      <c r="AG177" s="11">
        <v>102.16</v>
      </c>
      <c r="BT177" s="56">
        <v>41091</v>
      </c>
      <c r="BU177" s="8">
        <v>0</v>
      </c>
      <c r="BV177" s="8">
        <v>8197.1397418975794</v>
      </c>
      <c r="BW177" s="8">
        <v>0</v>
      </c>
      <c r="DW177" s="56">
        <v>41122</v>
      </c>
      <c r="DX177">
        <v>0</v>
      </c>
      <c r="DY177">
        <v>0</v>
      </c>
      <c r="DZ177" s="8">
        <v>0</v>
      </c>
      <c r="FE177" s="56">
        <v>41122</v>
      </c>
      <c r="FF177" s="8" t="e">
        <f>DX177+#REF!+#REF!</f>
        <v>#REF!</v>
      </c>
      <c r="FG177" s="8" t="e">
        <f>#REF!+DY177+#REF!</f>
        <v>#REF!</v>
      </c>
      <c r="FH177" s="8">
        <f t="shared" si="197"/>
        <v>0</v>
      </c>
    </row>
    <row r="178" spans="28:167" x14ac:dyDescent="0.25">
      <c r="AB178">
        <v>2013</v>
      </c>
      <c r="AC178">
        <v>2</v>
      </c>
      <c r="AD178" s="8">
        <v>66238.178037278354</v>
      </c>
      <c r="AE178" s="8">
        <v>0</v>
      </c>
      <c r="AF178" s="8">
        <v>0</v>
      </c>
      <c r="AG178" s="11">
        <v>102.16</v>
      </c>
      <c r="BT178" s="56">
        <v>41122</v>
      </c>
      <c r="BU178" s="8">
        <v>0</v>
      </c>
      <c r="BV178" s="8">
        <v>0</v>
      </c>
      <c r="BW178" s="8">
        <v>0</v>
      </c>
      <c r="DW178" s="56">
        <v>41153</v>
      </c>
      <c r="DX178">
        <v>321.84762954711908</v>
      </c>
      <c r="DY178">
        <v>0</v>
      </c>
      <c r="DZ178" s="8">
        <v>0</v>
      </c>
      <c r="FE178" s="56">
        <v>41153</v>
      </c>
      <c r="FF178" s="8" t="e">
        <f>DX178+#REF!+#REF!</f>
        <v>#REF!</v>
      </c>
      <c r="FG178" s="8" t="e">
        <f>#REF!+DY178+#REF!</f>
        <v>#REF!</v>
      </c>
      <c r="FH178" s="8">
        <f t="shared" si="197"/>
        <v>0</v>
      </c>
    </row>
    <row r="179" spans="28:167" x14ac:dyDescent="0.25">
      <c r="AB179">
        <v>2013</v>
      </c>
      <c r="AC179">
        <v>3</v>
      </c>
      <c r="AD179" s="8">
        <v>31856.609377741825</v>
      </c>
      <c r="AE179" s="8">
        <v>4079.865801975126</v>
      </c>
      <c r="AF179" s="8">
        <v>0</v>
      </c>
      <c r="AG179" s="11">
        <v>102.16</v>
      </c>
      <c r="AH179" s="11">
        <f>SUM(AD171:AD179)</f>
        <v>274626.00134743698</v>
      </c>
      <c r="AI179" s="11">
        <f>SUM(AE171:AE179)</f>
        <v>14112.846273761234</v>
      </c>
      <c r="BT179" s="56">
        <v>41153</v>
      </c>
      <c r="BU179" s="8">
        <v>0</v>
      </c>
      <c r="BV179" s="8">
        <v>0</v>
      </c>
      <c r="BW179" s="8">
        <v>0</v>
      </c>
      <c r="DW179" s="56">
        <v>41183</v>
      </c>
      <c r="DX179">
        <v>1760.5287868976593</v>
      </c>
      <c r="DY179">
        <v>0</v>
      </c>
      <c r="DZ179" s="8">
        <v>4.8434147834777797</v>
      </c>
      <c r="FE179" s="56">
        <v>41183</v>
      </c>
      <c r="FF179" s="8" t="e">
        <f>DX179+#REF!+#REF!</f>
        <v>#REF!</v>
      </c>
      <c r="FG179" s="8" t="e">
        <f>#REF!+DY179+#REF!</f>
        <v>#REF!</v>
      </c>
      <c r="FH179" s="8">
        <f t="shared" si="197"/>
        <v>4.8434147834777797</v>
      </c>
    </row>
    <row r="180" spans="28:167" x14ac:dyDescent="0.25">
      <c r="AB180">
        <v>2013</v>
      </c>
      <c r="AC180">
        <v>4</v>
      </c>
      <c r="AD180" s="8">
        <v>7521.487913565712</v>
      </c>
      <c r="AE180" s="8">
        <v>0</v>
      </c>
      <c r="AF180" s="8">
        <v>0</v>
      </c>
      <c r="AG180" s="11">
        <v>102.16</v>
      </c>
      <c r="BT180" s="56">
        <v>41183</v>
      </c>
      <c r="BU180" s="8">
        <v>0</v>
      </c>
      <c r="BV180" s="8">
        <v>0</v>
      </c>
      <c r="BW180" s="8">
        <v>0</v>
      </c>
      <c r="DW180" s="56">
        <v>41214</v>
      </c>
      <c r="DX180">
        <v>15072.11011600494</v>
      </c>
      <c r="DY180">
        <v>0</v>
      </c>
      <c r="DZ180" s="8">
        <v>621.22620964050304</v>
      </c>
      <c r="EA180" s="56">
        <f>DW180</f>
        <v>41214</v>
      </c>
      <c r="EB180" s="8">
        <f>SUM(DZ176:DZ184)</f>
        <v>2896.5433349609366</v>
      </c>
      <c r="EC180" s="8">
        <f>SUM(DX176:DX184)</f>
        <v>123597.51298454398</v>
      </c>
      <c r="ED180" s="8">
        <f>SUM(DY176:DY184)</f>
        <v>2027.2375297546362</v>
      </c>
      <c r="FE180" s="56">
        <v>41214</v>
      </c>
      <c r="FF180" s="8" t="e">
        <f>DX180+#REF!+#REF!</f>
        <v>#REF!</v>
      </c>
      <c r="FG180" s="8" t="e">
        <f>#REF!+DY180+#REF!</f>
        <v>#REF!</v>
      </c>
      <c r="FH180" s="8">
        <f t="shared" si="197"/>
        <v>621.22620964050304</v>
      </c>
      <c r="FI180" s="8" t="e">
        <f>SUM(FF176:FF184)</f>
        <v>#REF!</v>
      </c>
      <c r="FJ180" s="8" t="e">
        <f>SUM(FG176:FG184)</f>
        <v>#REF!</v>
      </c>
      <c r="FK180" s="8">
        <f>SUM(FH176:FH184)</f>
        <v>2896.5433349609366</v>
      </c>
    </row>
    <row r="181" spans="28:167" x14ac:dyDescent="0.25">
      <c r="AB181">
        <v>2013</v>
      </c>
      <c r="AC181">
        <v>5</v>
      </c>
      <c r="AD181" s="8">
        <v>253.837344624102</v>
      </c>
      <c r="AE181" s="8">
        <v>0</v>
      </c>
      <c r="AF181" s="8">
        <v>0</v>
      </c>
      <c r="AG181" s="11">
        <v>102.16</v>
      </c>
      <c r="BT181" s="56">
        <v>41214</v>
      </c>
      <c r="BU181" s="8">
        <v>9372.1836624145544</v>
      </c>
      <c r="BV181" s="8">
        <v>0</v>
      </c>
      <c r="BW181" s="8">
        <v>0</v>
      </c>
      <c r="BX181" s="8">
        <f>SUM(BW177:BW185)</f>
        <v>0</v>
      </c>
      <c r="BY181" s="8">
        <f>SUM(BU177:BU185)</f>
        <v>136150.70012855524</v>
      </c>
      <c r="BZ181" s="8">
        <f>SUM(BV169:BV180)</f>
        <v>23997.139553070068</v>
      </c>
      <c r="DW181" s="56">
        <v>41244</v>
      </c>
      <c r="DX181">
        <v>32345.657415419817</v>
      </c>
      <c r="DY181">
        <v>0</v>
      </c>
      <c r="DZ181" s="8">
        <v>1174.1079230308526</v>
      </c>
      <c r="FE181" s="56">
        <v>41244</v>
      </c>
      <c r="FF181" s="8" t="e">
        <f>DX181+#REF!+#REF!</f>
        <v>#REF!</v>
      </c>
      <c r="FG181" s="8" t="e">
        <f>#REF!+DY181+#REF!</f>
        <v>#REF!</v>
      </c>
      <c r="FH181" s="8">
        <f t="shared" si="197"/>
        <v>1174.1079230308526</v>
      </c>
    </row>
    <row r="182" spans="28:167" x14ac:dyDescent="0.25">
      <c r="AB182">
        <v>2013</v>
      </c>
      <c r="AC182">
        <v>6</v>
      </c>
      <c r="AD182" s="8">
        <v>4.1964331045746821</v>
      </c>
      <c r="AE182" s="8">
        <v>526.34550476074241</v>
      </c>
      <c r="AF182" s="8">
        <v>0</v>
      </c>
      <c r="AG182" s="11">
        <v>102.16</v>
      </c>
      <c r="BT182" s="56">
        <v>41244</v>
      </c>
      <c r="BU182" s="8">
        <v>32620.64607810985</v>
      </c>
      <c r="BV182" s="8">
        <v>0</v>
      </c>
      <c r="BW182" s="8">
        <v>0</v>
      </c>
      <c r="DW182" s="56">
        <v>41275</v>
      </c>
      <c r="DX182">
        <v>35455.250322341853</v>
      </c>
      <c r="DY182">
        <v>0</v>
      </c>
      <c r="DZ182" s="8">
        <v>1096.3657875061028</v>
      </c>
      <c r="FE182" s="56">
        <v>41275</v>
      </c>
      <c r="FF182" s="8" t="e">
        <f>DX182+#REF!+#REF!</f>
        <v>#REF!</v>
      </c>
      <c r="FG182" s="8" t="e">
        <f>#REF!+DY182+#REF!</f>
        <v>#REF!</v>
      </c>
      <c r="FH182" s="8">
        <f t="shared" si="197"/>
        <v>1096.3657875061028</v>
      </c>
    </row>
    <row r="183" spans="28:167" x14ac:dyDescent="0.25">
      <c r="AB183">
        <v>2013</v>
      </c>
      <c r="AC183">
        <v>7</v>
      </c>
      <c r="BT183" s="56">
        <v>41275</v>
      </c>
      <c r="BU183" s="8">
        <v>37008.077575683506</v>
      </c>
      <c r="BV183" s="8">
        <v>0</v>
      </c>
      <c r="BW183" s="8">
        <v>0</v>
      </c>
      <c r="DW183" s="56">
        <v>41306</v>
      </c>
      <c r="DX183">
        <v>33758.344018936165</v>
      </c>
      <c r="DY183">
        <v>0</v>
      </c>
      <c r="DZ183" s="8">
        <v>0</v>
      </c>
      <c r="FE183" s="56">
        <v>41306</v>
      </c>
      <c r="FF183" s="8" t="e">
        <f>DX183+#REF!+#REF!</f>
        <v>#REF!</v>
      </c>
      <c r="FG183" s="8" t="e">
        <f>#REF!+DY183+#REF!</f>
        <v>#REF!</v>
      </c>
      <c r="FH183" s="8">
        <f t="shared" si="197"/>
        <v>0</v>
      </c>
    </row>
    <row r="184" spans="28:167" x14ac:dyDescent="0.25">
      <c r="AB184">
        <v>2013</v>
      </c>
      <c r="AC184">
        <v>8</v>
      </c>
      <c r="BT184" s="56">
        <v>41306</v>
      </c>
      <c r="BU184" s="8">
        <v>37329.371337890538</v>
      </c>
      <c r="BV184" s="8">
        <v>0</v>
      </c>
      <c r="BW184" s="8">
        <v>0</v>
      </c>
      <c r="DW184" s="56">
        <v>41334</v>
      </c>
      <c r="DX184">
        <v>4883.7746953964242</v>
      </c>
      <c r="DY184">
        <v>454.71744918823219</v>
      </c>
      <c r="DZ184" s="8">
        <v>0</v>
      </c>
      <c r="FE184" s="56">
        <v>41334</v>
      </c>
      <c r="FF184" s="8" t="e">
        <f>DX184+#REF!+#REF!</f>
        <v>#REF!</v>
      </c>
      <c r="FG184" s="8" t="e">
        <f>#REF!+DY184+#REF!</f>
        <v>#REF!</v>
      </c>
      <c r="FH184" s="8">
        <f t="shared" si="197"/>
        <v>0</v>
      </c>
    </row>
    <row r="185" spans="28:167" x14ac:dyDescent="0.25">
      <c r="AB185">
        <v>2013</v>
      </c>
      <c r="AC185">
        <v>9</v>
      </c>
      <c r="BT185" s="56">
        <v>41334</v>
      </c>
      <c r="BU185" s="8">
        <v>19820.421474456787</v>
      </c>
      <c r="BV185" s="8">
        <v>1859.399757385258</v>
      </c>
      <c r="BW185" s="8">
        <v>0</v>
      </c>
      <c r="DW185" s="56">
        <v>41365</v>
      </c>
      <c r="DX185">
        <v>242.30865669250485</v>
      </c>
      <c r="DY185">
        <v>0</v>
      </c>
      <c r="DZ185" s="8">
        <v>0</v>
      </c>
      <c r="FE185" s="56">
        <v>41365</v>
      </c>
      <c r="FF185" s="8" t="e">
        <f>DX185+#REF!+#REF!</f>
        <v>#REF!</v>
      </c>
      <c r="FG185" s="8" t="e">
        <f>#REF!+DY185+#REF!</f>
        <v>#REF!</v>
      </c>
      <c r="FH185" s="8">
        <f t="shared" si="197"/>
        <v>0</v>
      </c>
    </row>
    <row r="186" spans="28:167" x14ac:dyDescent="0.25">
      <c r="AB186">
        <v>2013</v>
      </c>
      <c r="AC186">
        <v>10</v>
      </c>
      <c r="BT186" s="56">
        <v>41365</v>
      </c>
      <c r="BU186" s="8">
        <v>11552.337377548216</v>
      </c>
      <c r="BV186" s="8">
        <v>0</v>
      </c>
      <c r="BW186" s="8">
        <v>0</v>
      </c>
      <c r="DW186" s="56">
        <v>41395</v>
      </c>
      <c r="DX186">
        <v>102.49024963378905</v>
      </c>
      <c r="DY186">
        <v>0</v>
      </c>
      <c r="DZ186" s="8">
        <v>0</v>
      </c>
      <c r="FE186" s="56">
        <v>41395</v>
      </c>
      <c r="FF186" s="8" t="e">
        <f>DX186+#REF!+#REF!</f>
        <v>#REF!</v>
      </c>
      <c r="FG186" s="8" t="e">
        <f>#REF!+DY186+#REF!</f>
        <v>#REF!</v>
      </c>
      <c r="FH186" s="8">
        <f t="shared" si="197"/>
        <v>0</v>
      </c>
    </row>
    <row r="187" spans="28:167" x14ac:dyDescent="0.25">
      <c r="AB187">
        <v>2013</v>
      </c>
      <c r="AC187">
        <v>11</v>
      </c>
      <c r="BT187" s="56">
        <v>41395</v>
      </c>
      <c r="BU187" s="8">
        <v>350.19714069366506</v>
      </c>
      <c r="BV187" s="8">
        <v>0</v>
      </c>
      <c r="BW187" s="8">
        <v>0</v>
      </c>
      <c r="DW187" s="56">
        <v>41426</v>
      </c>
      <c r="DX187">
        <v>2.5640563964843799</v>
      </c>
      <c r="DY187">
        <v>0</v>
      </c>
      <c r="DZ187" s="8">
        <v>0</v>
      </c>
      <c r="FE187" s="56">
        <v>41426</v>
      </c>
      <c r="FF187" s="8" t="e">
        <f>DX187+#REF!+#REF!</f>
        <v>#REF!</v>
      </c>
      <c r="FG187" s="8" t="e">
        <f>#REF!+DY187+#REF!</f>
        <v>#REF!</v>
      </c>
      <c r="FH187" s="8">
        <f t="shared" si="197"/>
        <v>0</v>
      </c>
    </row>
    <row r="188" spans="28:167" x14ac:dyDescent="0.25">
      <c r="AB188">
        <v>2013</v>
      </c>
      <c r="AC188">
        <v>12</v>
      </c>
      <c r="BT188" s="56">
        <v>41426</v>
      </c>
      <c r="BU188" s="8">
        <v>0</v>
      </c>
      <c r="BV188" s="8">
        <v>0</v>
      </c>
      <c r="BW188" s="8">
        <v>0</v>
      </c>
    </row>
    <row r="189" spans="28:167" x14ac:dyDescent="0.25">
      <c r="AB189">
        <v>2014</v>
      </c>
      <c r="AC189">
        <v>1</v>
      </c>
    </row>
    <row r="190" spans="28:167" x14ac:dyDescent="0.25">
      <c r="AB190">
        <v>2014</v>
      </c>
      <c r="AC190">
        <v>2</v>
      </c>
    </row>
    <row r="191" spans="28:167" x14ac:dyDescent="0.25">
      <c r="AB191">
        <v>2014</v>
      </c>
      <c r="AC191">
        <v>3</v>
      </c>
    </row>
    <row r="192" spans="28:167" x14ac:dyDescent="0.25">
      <c r="AB192">
        <v>2014</v>
      </c>
      <c r="AC192">
        <v>4</v>
      </c>
    </row>
    <row r="193" spans="28:29" x14ac:dyDescent="0.25">
      <c r="AB193">
        <v>2014</v>
      </c>
      <c r="AC193">
        <v>5</v>
      </c>
    </row>
    <row r="194" spans="28:29" x14ac:dyDescent="0.25">
      <c r="AB194">
        <v>2014</v>
      </c>
      <c r="AC194">
        <v>6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9"/>
  <sheetViews>
    <sheetView topLeftCell="AF1" workbookViewId="0">
      <selection activeCell="AS20" sqref="AS20"/>
    </sheetView>
  </sheetViews>
  <sheetFormatPr defaultRowHeight="15" x14ac:dyDescent="0.25"/>
  <sheetData>
    <row r="1" spans="1:78" x14ac:dyDescent="0.25">
      <c r="A1" s="23" t="s">
        <v>495</v>
      </c>
      <c r="R1" t="s">
        <v>342</v>
      </c>
      <c r="S1" t="s">
        <v>285</v>
      </c>
      <c r="X1" t="s">
        <v>212</v>
      </c>
      <c r="Y1" t="s">
        <v>271</v>
      </c>
      <c r="Z1" t="s">
        <v>272</v>
      </c>
      <c r="AB1" t="s">
        <v>212</v>
      </c>
      <c r="AC1" t="s">
        <v>307</v>
      </c>
      <c r="AD1" t="s">
        <v>186</v>
      </c>
      <c r="AH1" t="s">
        <v>212</v>
      </c>
      <c r="AI1" t="str">
        <f>Y1</f>
        <v>GS on-alloc</v>
      </c>
      <c r="AJ1" t="str">
        <f>Z1</f>
        <v>GS off-alloc</v>
      </c>
      <c r="AK1" t="s">
        <v>399</v>
      </c>
      <c r="AL1" t="s">
        <v>212</v>
      </c>
      <c r="AM1" t="s">
        <v>70</v>
      </c>
      <c r="AN1" t="s">
        <v>349</v>
      </c>
      <c r="AP1" t="s">
        <v>212</v>
      </c>
      <c r="AQ1" t="s">
        <v>70</v>
      </c>
      <c r="AR1" t="s">
        <v>400</v>
      </c>
      <c r="AZ1" t="s">
        <v>205</v>
      </c>
      <c r="BB1" t="s">
        <v>271</v>
      </c>
      <c r="BC1" t="s">
        <v>272</v>
      </c>
      <c r="BH1" s="2" t="s">
        <v>1</v>
      </c>
      <c r="BI1" s="2" t="s">
        <v>2</v>
      </c>
      <c r="BJ1" s="2" t="s">
        <v>3</v>
      </c>
      <c r="BK1" s="2" t="s">
        <v>4</v>
      </c>
      <c r="BL1" s="2" t="s">
        <v>5</v>
      </c>
      <c r="BM1" s="2" t="s">
        <v>6</v>
      </c>
      <c r="BN1" s="2" t="s">
        <v>7</v>
      </c>
      <c r="BO1" s="2" t="s">
        <v>8</v>
      </c>
      <c r="BP1" s="2" t="s">
        <v>9</v>
      </c>
      <c r="BQ1" s="2" t="s">
        <v>10</v>
      </c>
      <c r="BR1" s="2" t="s">
        <v>11</v>
      </c>
      <c r="BS1" s="2" t="s">
        <v>12</v>
      </c>
      <c r="BT1" s="2" t="s">
        <v>123</v>
      </c>
      <c r="BU1" s="2" t="s">
        <v>390</v>
      </c>
      <c r="BV1" s="2" t="s">
        <v>43</v>
      </c>
      <c r="BW1" s="2" t="s">
        <v>407</v>
      </c>
      <c r="BX1" t="s">
        <v>265</v>
      </c>
      <c r="BY1" s="2" t="s">
        <v>408</v>
      </c>
      <c r="BZ1" s="2" t="s">
        <v>269</v>
      </c>
    </row>
    <row r="2" spans="1:78" x14ac:dyDescent="0.25">
      <c r="A2" s="1" t="s">
        <v>206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123</v>
      </c>
      <c r="O2" s="2" t="s">
        <v>390</v>
      </c>
      <c r="P2" s="2" t="s">
        <v>394</v>
      </c>
      <c r="Q2" s="56">
        <v>35796</v>
      </c>
      <c r="R2" s="8">
        <v>518.01</v>
      </c>
      <c r="S2" s="8">
        <v>0</v>
      </c>
      <c r="X2" s="56">
        <f>T24</f>
        <v>36465</v>
      </c>
      <c r="Y2" s="8">
        <f t="shared" ref="Y2:Z2" si="0">U24</f>
        <v>3729.605</v>
      </c>
      <c r="Z2" s="8">
        <f t="shared" si="0"/>
        <v>235.37699999999998</v>
      </c>
      <c r="AB2" s="56">
        <v>36465</v>
      </c>
      <c r="AC2" s="8">
        <v>3800</v>
      </c>
      <c r="AH2" s="56">
        <v>36465</v>
      </c>
      <c r="AI2" s="8">
        <f t="shared" ref="AI2:AI16" si="1">Y2</f>
        <v>3729.605</v>
      </c>
      <c r="AJ2" s="8">
        <f t="shared" ref="AJ2:AJ16" si="2">Z2</f>
        <v>235.37699999999998</v>
      </c>
      <c r="AK2" s="11">
        <f>P3-$P$21</f>
        <v>72.482447668075594</v>
      </c>
      <c r="AL2" s="56">
        <v>36465</v>
      </c>
      <c r="AN2" s="8">
        <f>($AJ$18*AI2)+($AI$18*AJ2)</f>
        <v>1235.4235621129533</v>
      </c>
      <c r="AP2" s="11">
        <v>1999</v>
      </c>
      <c r="AQ2" s="8">
        <f>F49</f>
        <v>2985.6449283175371</v>
      </c>
      <c r="AR2" s="8">
        <f>($AQ$18*AI2)+($AP$18*AJ2)</f>
        <v>1757.2631112239731</v>
      </c>
      <c r="BA2" s="56">
        <v>35796</v>
      </c>
      <c r="BB2" s="65">
        <v>485.33</v>
      </c>
      <c r="BC2" s="65">
        <v>0</v>
      </c>
      <c r="BD2" s="65"/>
      <c r="BE2" s="65"/>
      <c r="BG2" s="38">
        <v>1999</v>
      </c>
      <c r="BH2" s="11">
        <v>43.400787368534118</v>
      </c>
      <c r="BI2" s="11">
        <v>39.338582680919977</v>
      </c>
      <c r="BJ2" s="11">
        <v>56.419684958270217</v>
      </c>
      <c r="BK2" s="11">
        <v>123.6826772314357</v>
      </c>
      <c r="BL2" s="11">
        <v>5.4216535429316242</v>
      </c>
      <c r="BM2" s="11">
        <v>54.763779512540559</v>
      </c>
      <c r="BN2" s="11">
        <v>40.577952812975788</v>
      </c>
      <c r="BO2" s="11">
        <v>38.344488166448642</v>
      </c>
      <c r="BP2" s="11">
        <v>29.976771647535909</v>
      </c>
      <c r="BQ2" s="11">
        <v>117.64133858868456</v>
      </c>
      <c r="BR2" s="11">
        <v>79.272441248255447</v>
      </c>
      <c r="BS2" s="11">
        <v>53.635433197021484</v>
      </c>
      <c r="BT2" s="11">
        <v>682.47559095555391</v>
      </c>
      <c r="BU2" s="11">
        <f>BR2+BS2+BH3+BI3+BJ3</f>
        <v>280.37401624739641</v>
      </c>
      <c r="BV2" s="38">
        <v>1999</v>
      </c>
      <c r="BW2" s="8">
        <v>11400</v>
      </c>
      <c r="BX2">
        <v>158</v>
      </c>
      <c r="BY2" s="8">
        <f>IF(BW2&lt;$BM$32,BW2,IF($BX2&lt;100,$BP$31+($BO$31*BX2),$BM$32))</f>
        <v>4000</v>
      </c>
      <c r="BZ2" s="8">
        <f>BW2-BY2</f>
        <v>7400</v>
      </c>
    </row>
    <row r="3" spans="1:78" x14ac:dyDescent="0.25">
      <c r="A3" s="38">
        <v>1999</v>
      </c>
      <c r="B3" s="11">
        <v>50.845599929809573</v>
      </c>
      <c r="C3" s="11">
        <v>19.225599914550781</v>
      </c>
      <c r="D3" s="11">
        <v>49.128799942016599</v>
      </c>
      <c r="E3" s="11">
        <v>94.61039978027344</v>
      </c>
      <c r="F3" s="11">
        <v>3.2711999883651734</v>
      </c>
      <c r="G3" s="11">
        <v>64.398400329589848</v>
      </c>
      <c r="H3" s="11">
        <v>49.698400024414063</v>
      </c>
      <c r="I3" s="11">
        <v>42.280800033569335</v>
      </c>
      <c r="J3" s="11">
        <v>30.084799972534178</v>
      </c>
      <c r="K3" s="11">
        <v>124.14960028076172</v>
      </c>
      <c r="L3" s="11">
        <v>82.996799743652346</v>
      </c>
      <c r="M3" s="11">
        <v>55.323199981689456</v>
      </c>
      <c r="N3" s="11">
        <v>666.0135999212265</v>
      </c>
      <c r="O3" s="11">
        <f>SUM(L3:M3)+SUM(B4:D4)</f>
        <v>307.63920005035402</v>
      </c>
      <c r="P3" s="11">
        <f>SUM(F3:K3)</f>
        <v>313.8832006292343</v>
      </c>
      <c r="Q3" s="56">
        <v>35827</v>
      </c>
      <c r="R3" s="8">
        <v>430.09</v>
      </c>
      <c r="S3" s="8">
        <v>144.07</v>
      </c>
      <c r="X3" s="56">
        <f>T36</f>
        <v>36831</v>
      </c>
      <c r="Y3" s="8">
        <f t="shared" ref="Y3:Z3" si="3">U36</f>
        <v>3584.9100000000003</v>
      </c>
      <c r="Z3" s="8">
        <f t="shared" si="3"/>
        <v>25.3872</v>
      </c>
      <c r="AB3" s="56">
        <v>36831</v>
      </c>
      <c r="AC3" s="8">
        <v>3600</v>
      </c>
      <c r="AH3" s="56">
        <v>36831</v>
      </c>
      <c r="AI3" s="8">
        <f t="shared" si="1"/>
        <v>3584.9100000000003</v>
      </c>
      <c r="AJ3" s="8">
        <f t="shared" si="2"/>
        <v>25.3872</v>
      </c>
      <c r="AK3" s="11">
        <f t="shared" ref="AK3:AK16" si="4">P4-$P$21</f>
        <v>14.980046450614935</v>
      </c>
      <c r="AL3" s="56">
        <v>36831</v>
      </c>
      <c r="AN3" s="8">
        <f t="shared" ref="AN3:AN16" si="5">($AJ$18*AI3)+($AI$18*AJ3)</f>
        <v>868.84540458216929</v>
      </c>
      <c r="AP3" s="11">
        <v>2000</v>
      </c>
      <c r="AQ3" s="8">
        <f t="shared" ref="AQ3:AQ5" si="6">F50</f>
        <v>2938.2862046927908</v>
      </c>
      <c r="AR3" s="8">
        <f t="shared" ref="AR3:AR16" si="7">($AQ$18*AI3)+($AP$18*AJ3)</f>
        <v>1451.3764032877252</v>
      </c>
      <c r="BA3" s="56">
        <v>35827</v>
      </c>
      <c r="BB3" s="65">
        <v>210.69</v>
      </c>
      <c r="BC3" s="65">
        <v>1.3475999999999999</v>
      </c>
      <c r="BD3" s="65"/>
      <c r="BE3" s="65"/>
      <c r="BG3" s="38">
        <v>2000</v>
      </c>
      <c r="BH3" s="11">
        <v>31.900000035293459</v>
      </c>
      <c r="BI3" s="11">
        <v>18.625590609753225</v>
      </c>
      <c r="BJ3" s="11">
        <v>96.940551157072775</v>
      </c>
      <c r="BK3" s="11">
        <v>41.474803098543426</v>
      </c>
      <c r="BL3" s="11">
        <v>62.82716552854523</v>
      </c>
      <c r="BM3" s="11">
        <v>21.392519684288445</v>
      </c>
      <c r="BN3" s="11">
        <v>43.129527542534774</v>
      </c>
      <c r="BO3" s="11">
        <v>50.616929211954435</v>
      </c>
      <c r="BP3" s="11">
        <v>9.4240157547898171</v>
      </c>
      <c r="BQ3" s="11">
        <v>104.66968509343666</v>
      </c>
      <c r="BR3" s="11">
        <v>235.36181063914862</v>
      </c>
      <c r="BS3" s="11">
        <v>49.620866167263721</v>
      </c>
      <c r="BT3" s="11">
        <v>765.98346452262456</v>
      </c>
      <c r="BU3" s="11">
        <f t="shared" ref="BU3:BU17" si="8">BR3+BS3+BH4+BI4+BJ4</f>
        <v>466.4212595571683</v>
      </c>
      <c r="BV3" s="38">
        <v>2000</v>
      </c>
      <c r="BW3" s="8">
        <v>10800</v>
      </c>
      <c r="BX3">
        <v>111</v>
      </c>
      <c r="BY3" s="8">
        <f t="shared" ref="BY3:BY16" si="9">IF(BW3&lt;$BM$32,BW3,IF($BX3&lt;100,$BP$31+($BO$31*BX3),$BM$32))</f>
        <v>4000</v>
      </c>
      <c r="BZ3" s="8">
        <f t="shared" ref="BZ3:BZ16" si="10">BW3-BY3</f>
        <v>6800</v>
      </c>
    </row>
    <row r="4" spans="1:78" x14ac:dyDescent="0.25">
      <c r="A4" s="38">
        <v>2000</v>
      </c>
      <c r="B4" s="11">
        <v>17.715200050354003</v>
      </c>
      <c r="C4" s="11">
        <v>31.11680014038086</v>
      </c>
      <c r="D4" s="11">
        <v>120.48720013427734</v>
      </c>
      <c r="E4" s="11">
        <v>25.217600028991701</v>
      </c>
      <c r="F4" s="11">
        <v>43.717599929809573</v>
      </c>
      <c r="G4" s="11">
        <v>17.348799957275389</v>
      </c>
      <c r="H4" s="11">
        <v>46.436799896240231</v>
      </c>
      <c r="I4" s="11">
        <v>41.011199798583988</v>
      </c>
      <c r="J4" s="11">
        <v>5.7759999885559079</v>
      </c>
      <c r="K4" s="11">
        <v>102.0903998413086</v>
      </c>
      <c r="L4" s="11">
        <v>158.05920001220704</v>
      </c>
      <c r="M4" s="11">
        <v>24.911999969482423</v>
      </c>
      <c r="N4" s="11">
        <v>633.88879974746703</v>
      </c>
      <c r="O4" s="11">
        <f t="shared" ref="O4:O9" si="11">SUM(L4:M4)+SUM(B5:D5)</f>
        <v>393.68639979553222</v>
      </c>
      <c r="P4" s="11">
        <f t="shared" ref="P4:P19" si="12">SUM(F4:K4)</f>
        <v>256.38079941177364</v>
      </c>
      <c r="Q4" s="56">
        <v>35855</v>
      </c>
      <c r="R4" s="8">
        <v>544.47</v>
      </c>
      <c r="S4" s="8">
        <v>0</v>
      </c>
      <c r="X4" s="56">
        <f>T48</f>
        <v>37196</v>
      </c>
      <c r="Y4" s="8">
        <f t="shared" ref="Y4:Z4" si="13">U48</f>
        <v>4029.78</v>
      </c>
      <c r="Z4" s="8">
        <f t="shared" si="13"/>
        <v>270.01960000000003</v>
      </c>
      <c r="AB4" s="56">
        <v>37196</v>
      </c>
      <c r="AC4" s="8">
        <v>2600</v>
      </c>
      <c r="AH4" s="56">
        <v>37196</v>
      </c>
      <c r="AI4" s="8">
        <f t="shared" si="1"/>
        <v>4029.78</v>
      </c>
      <c r="AJ4" s="8">
        <f t="shared" si="2"/>
        <v>270.01960000000003</v>
      </c>
      <c r="AK4" s="11">
        <f t="shared" si="4"/>
        <v>-1.1359527559280025</v>
      </c>
      <c r="AL4" s="56">
        <v>37196</v>
      </c>
      <c r="AN4" s="8">
        <f t="shared" si="5"/>
        <v>1359.7604125479704</v>
      </c>
      <c r="AP4" s="11">
        <v>2001</v>
      </c>
      <c r="AQ4" s="8">
        <f t="shared" si="6"/>
        <v>1972.9281253461595</v>
      </c>
      <c r="AR4" s="8">
        <f t="shared" si="7"/>
        <v>1917.2741304553647</v>
      </c>
      <c r="BA4" s="56">
        <v>35855</v>
      </c>
      <c r="BB4" s="65">
        <v>440.96</v>
      </c>
      <c r="BC4" s="65">
        <v>0</v>
      </c>
      <c r="BD4" s="65"/>
      <c r="BE4" s="65"/>
      <c r="BG4" s="38">
        <v>2001</v>
      </c>
      <c r="BH4" s="11">
        <v>40.001574824175499</v>
      </c>
      <c r="BI4" s="11">
        <v>33.574015722500057</v>
      </c>
      <c r="BJ4" s="11">
        <v>107.86299220408041</v>
      </c>
      <c r="BK4" s="11">
        <v>25.015748046514556</v>
      </c>
      <c r="BL4" s="11">
        <v>25.610629892724706</v>
      </c>
      <c r="BM4" s="11">
        <v>24.701968448368582</v>
      </c>
      <c r="BN4" s="11">
        <v>83.240551250187437</v>
      </c>
      <c r="BO4" s="11">
        <v>12.112204726286761</v>
      </c>
      <c r="BP4" s="11">
        <v>26.021259841017837</v>
      </c>
      <c r="BQ4" s="11">
        <v>46.145669231264613</v>
      </c>
      <c r="BR4" s="11">
        <v>86.570866171769268</v>
      </c>
      <c r="BS4" s="11">
        <v>48.600787373039665</v>
      </c>
      <c r="BT4" s="11">
        <v>559.45826773192937</v>
      </c>
      <c r="BU4" s="11">
        <f t="shared" si="8"/>
        <v>278.08464572185608</v>
      </c>
      <c r="BV4" s="38">
        <v>2001</v>
      </c>
      <c r="BW4" s="8">
        <v>7800</v>
      </c>
      <c r="BX4">
        <v>160</v>
      </c>
      <c r="BY4" s="8">
        <f t="shared" si="9"/>
        <v>4000</v>
      </c>
      <c r="BZ4" s="8">
        <f t="shared" si="10"/>
        <v>3800</v>
      </c>
    </row>
    <row r="5" spans="1:78" x14ac:dyDescent="0.25">
      <c r="A5" s="38">
        <v>2001</v>
      </c>
      <c r="B5" s="11">
        <v>49.725599929809569</v>
      </c>
      <c r="C5" s="11">
        <v>63.531199859619143</v>
      </c>
      <c r="D5" s="11">
        <v>97.458400024414061</v>
      </c>
      <c r="E5" s="11">
        <v>32.734399993896481</v>
      </c>
      <c r="F5" s="11">
        <v>35.384000045776368</v>
      </c>
      <c r="G5" s="11">
        <v>27.867999954223635</v>
      </c>
      <c r="H5" s="11">
        <v>94.871200134277345</v>
      </c>
      <c r="I5" s="11">
        <v>11.254399997711182</v>
      </c>
      <c r="J5" s="11">
        <v>24.849600036621094</v>
      </c>
      <c r="K5" s="11">
        <v>46.037600036621093</v>
      </c>
      <c r="L5" s="11">
        <v>128.62160015869139</v>
      </c>
      <c r="M5" s="11">
        <v>33.334399841308596</v>
      </c>
      <c r="N5" s="11">
        <v>645.67040001296994</v>
      </c>
      <c r="O5" s="11">
        <f t="shared" si="11"/>
        <v>328.56720014953612</v>
      </c>
      <c r="P5" s="11">
        <f t="shared" si="12"/>
        <v>240.2648002052307</v>
      </c>
      <c r="Q5" s="56">
        <v>35886</v>
      </c>
      <c r="R5" s="8">
        <v>63.968000000000004</v>
      </c>
      <c r="S5" s="8">
        <v>0</v>
      </c>
      <c r="X5" s="56">
        <f>T60</f>
        <v>37561</v>
      </c>
      <c r="Y5" s="8">
        <f t="shared" ref="Y5:Z5" si="14">U60</f>
        <v>2966.8369999999995</v>
      </c>
      <c r="Z5" s="8">
        <f t="shared" si="14"/>
        <v>0</v>
      </c>
      <c r="AB5" s="56">
        <v>37561</v>
      </c>
      <c r="AC5" s="8">
        <v>1927.8999999999999</v>
      </c>
      <c r="AH5" s="56">
        <v>37561</v>
      </c>
      <c r="AI5" s="8">
        <f t="shared" si="1"/>
        <v>2966.8369999999995</v>
      </c>
      <c r="AJ5" s="8">
        <f t="shared" si="2"/>
        <v>0</v>
      </c>
      <c r="AK5" s="11">
        <f t="shared" si="4"/>
        <v>-174.59675301647181</v>
      </c>
      <c r="AL5" s="56">
        <v>37561</v>
      </c>
      <c r="AN5" s="8">
        <f t="shared" si="5"/>
        <v>685.71676749403582</v>
      </c>
      <c r="AP5" s="11">
        <v>2002</v>
      </c>
      <c r="AQ5" s="8">
        <f t="shared" si="6"/>
        <v>151.82142329842236</v>
      </c>
      <c r="AR5" s="8">
        <f t="shared" si="7"/>
        <v>1176.2799962619408</v>
      </c>
      <c r="BA5" s="56">
        <v>35886</v>
      </c>
      <c r="BB5" s="65">
        <v>93.018000000000001</v>
      </c>
      <c r="BC5" s="65">
        <v>0</v>
      </c>
      <c r="BD5" s="65"/>
      <c r="BE5" s="65"/>
      <c r="BG5" s="38">
        <v>2002</v>
      </c>
      <c r="BH5" s="11">
        <v>30.048818888626698</v>
      </c>
      <c r="BI5" s="11">
        <v>67.40944884893463</v>
      </c>
      <c r="BJ5" s="11">
        <v>45.454724439485808</v>
      </c>
      <c r="BK5" s="11">
        <v>6.78818898524825</v>
      </c>
      <c r="BL5" s="11">
        <v>2.9940944834956973</v>
      </c>
      <c r="BM5" s="11">
        <v>21.550393682765211</v>
      </c>
      <c r="BN5" s="11">
        <v>3.3582677165354329</v>
      </c>
      <c r="BO5" s="11">
        <v>8.3346456692913389</v>
      </c>
      <c r="BP5" s="11">
        <v>31.303149606299211</v>
      </c>
      <c r="BQ5" s="11">
        <v>4.893700787401575</v>
      </c>
      <c r="BR5" s="11">
        <v>35.99212598425197</v>
      </c>
      <c r="BS5" s="11">
        <v>88.153543307086608</v>
      </c>
      <c r="BT5" s="11">
        <v>346.28110239942237</v>
      </c>
      <c r="BU5" s="11">
        <f t="shared" si="8"/>
        <v>243.9094488188976</v>
      </c>
      <c r="BV5" s="38">
        <v>2002</v>
      </c>
      <c r="BW5" s="8">
        <v>3429.4000000000005</v>
      </c>
      <c r="BX5">
        <v>30</v>
      </c>
      <c r="BY5" s="8">
        <f t="shared" si="9"/>
        <v>3429.4000000000005</v>
      </c>
      <c r="BZ5" s="8">
        <f t="shared" si="10"/>
        <v>0</v>
      </c>
    </row>
    <row r="6" spans="1:78" x14ac:dyDescent="0.25">
      <c r="A6" s="38">
        <v>2002</v>
      </c>
      <c r="B6" s="11">
        <v>31.913599807739256</v>
      </c>
      <c r="C6" s="11">
        <v>77.145600280761712</v>
      </c>
      <c r="D6" s="11">
        <v>57.552000061035159</v>
      </c>
      <c r="E6" s="11">
        <v>4.9031999876499173</v>
      </c>
      <c r="F6" s="11">
        <v>2.3519999980926514</v>
      </c>
      <c r="G6" s="11">
        <v>25.515999946594238</v>
      </c>
      <c r="H6" s="11">
        <v>0.32800000000000001</v>
      </c>
      <c r="I6" s="11">
        <v>11.215999999999999</v>
      </c>
      <c r="J6" s="11">
        <v>23.04</v>
      </c>
      <c r="K6" s="11">
        <v>4.3520000000000003</v>
      </c>
      <c r="L6" s="11">
        <v>22.448</v>
      </c>
      <c r="M6" s="11">
        <v>74.391999999999996</v>
      </c>
      <c r="N6" s="11">
        <v>335.15840008187291</v>
      </c>
      <c r="O6" s="11">
        <f t="shared" si="11"/>
        <v>277.45600000000002</v>
      </c>
      <c r="P6" s="11">
        <f t="shared" si="12"/>
        <v>66.803999944686893</v>
      </c>
      <c r="Q6" s="56">
        <v>35916</v>
      </c>
      <c r="R6" s="8">
        <v>0</v>
      </c>
      <c r="S6" s="8">
        <v>0</v>
      </c>
      <c r="X6" s="56">
        <f>T72</f>
        <v>37926</v>
      </c>
      <c r="Y6" s="8">
        <f t="shared" ref="Y6:Z6" si="15">U72</f>
        <v>447.23689999999999</v>
      </c>
      <c r="Z6" s="8">
        <f t="shared" si="15"/>
        <v>389.70800000000003</v>
      </c>
      <c r="AB6" s="56">
        <v>37926</v>
      </c>
      <c r="AC6" s="8">
        <v>2013.8999999999996</v>
      </c>
      <c r="AH6" s="56">
        <v>37926</v>
      </c>
      <c r="AI6" s="8">
        <f t="shared" si="1"/>
        <v>447.23689999999999</v>
      </c>
      <c r="AJ6" s="8">
        <f t="shared" si="2"/>
        <v>389.70800000000003</v>
      </c>
      <c r="AK6" s="11">
        <f t="shared" si="4"/>
        <v>-19.251953089714021</v>
      </c>
      <c r="AL6" s="56">
        <v>37926</v>
      </c>
      <c r="AM6" s="8">
        <f>IF(F32&gt;0,F32,0)</f>
        <v>386.06903037446568</v>
      </c>
      <c r="AN6" s="8">
        <f t="shared" si="5"/>
        <v>721.61509806308811</v>
      </c>
      <c r="AP6" s="11">
        <v>2003</v>
      </c>
      <c r="AQ6" s="8">
        <f>AM6</f>
        <v>386.06903037446568</v>
      </c>
      <c r="AR6" s="8">
        <f t="shared" si="7"/>
        <v>638.53012673123021</v>
      </c>
      <c r="BA6" s="56">
        <v>35916</v>
      </c>
      <c r="BB6" s="65">
        <v>0</v>
      </c>
      <c r="BC6" s="65">
        <v>0</v>
      </c>
      <c r="BD6" s="65"/>
      <c r="BE6" s="65"/>
      <c r="BG6" s="38">
        <v>2003</v>
      </c>
      <c r="BH6" s="11">
        <v>18.803149606299211</v>
      </c>
      <c r="BI6" s="11">
        <v>64.673228346456696</v>
      </c>
      <c r="BJ6" s="11">
        <v>36.287401574803148</v>
      </c>
      <c r="BK6" s="11">
        <v>91</v>
      </c>
      <c r="BL6" s="11">
        <v>4.0669291338582676</v>
      </c>
      <c r="BM6" s="11">
        <v>43.031496062992126</v>
      </c>
      <c r="BN6" s="11">
        <v>39.499606117488831</v>
      </c>
      <c r="BO6" s="11">
        <v>66.142125888133606</v>
      </c>
      <c r="BP6" s="11">
        <v>6.604330703968138</v>
      </c>
      <c r="BQ6" s="11">
        <v>55.884251947478049</v>
      </c>
      <c r="BR6" s="11">
        <v>57.855117993091973</v>
      </c>
      <c r="BS6" s="11">
        <v>40.758267718037281</v>
      </c>
      <c r="BT6" s="11">
        <v>524.60590509260737</v>
      </c>
      <c r="BU6" s="11">
        <f t="shared" si="8"/>
        <v>397.8059057926568</v>
      </c>
      <c r="BV6" s="38">
        <v>2003</v>
      </c>
      <c r="BW6" s="8">
        <v>6427.4000000000005</v>
      </c>
      <c r="BX6">
        <v>2</v>
      </c>
      <c r="BY6" s="8">
        <f t="shared" si="9"/>
        <v>6063.1578947368416</v>
      </c>
      <c r="BZ6" s="8">
        <f t="shared" si="10"/>
        <v>364.24210526315892</v>
      </c>
    </row>
    <row r="7" spans="1:78" x14ac:dyDescent="0.25">
      <c r="A7" s="38">
        <v>2003</v>
      </c>
      <c r="B7" s="11">
        <v>17.88</v>
      </c>
      <c r="C7" s="11">
        <v>113.96</v>
      </c>
      <c r="D7" s="11">
        <v>48.776000000000003</v>
      </c>
      <c r="E7" s="11">
        <v>101.304</v>
      </c>
      <c r="F7" s="11">
        <v>3.52</v>
      </c>
      <c r="G7" s="11">
        <v>56.512</v>
      </c>
      <c r="H7" s="11">
        <v>43.501600036621092</v>
      </c>
      <c r="I7" s="11">
        <v>59.142399963378907</v>
      </c>
      <c r="J7" s="11">
        <v>3.0095999813079835</v>
      </c>
      <c r="K7" s="11">
        <v>56.463199890136721</v>
      </c>
      <c r="L7" s="11">
        <v>47.401600097656249</v>
      </c>
      <c r="M7" s="11">
        <v>44.957600067138671</v>
      </c>
      <c r="N7" s="11">
        <v>596.42800003623961</v>
      </c>
      <c r="O7" s="11">
        <f t="shared" si="11"/>
        <v>422.44719949340816</v>
      </c>
      <c r="P7" s="11">
        <f t="shared" si="12"/>
        <v>222.14879987144468</v>
      </c>
      <c r="Q7" s="56">
        <v>35947</v>
      </c>
      <c r="R7" s="8">
        <v>0</v>
      </c>
      <c r="S7" s="8">
        <v>0</v>
      </c>
      <c r="X7" s="56">
        <f>T84</f>
        <v>38292</v>
      </c>
      <c r="Y7" s="8">
        <f t="shared" ref="Y7:Z7" si="16">U84</f>
        <v>2496.7159999999999</v>
      </c>
      <c r="Z7" s="8">
        <f t="shared" si="16"/>
        <v>122.33500000000001</v>
      </c>
      <c r="AB7" s="56">
        <v>38292</v>
      </c>
      <c r="AC7" s="8">
        <v>2355.2399999999998</v>
      </c>
      <c r="AH7" s="56">
        <v>38292</v>
      </c>
      <c r="AI7" s="8">
        <f t="shared" si="1"/>
        <v>2496.7159999999999</v>
      </c>
      <c r="AJ7" s="8">
        <f t="shared" si="2"/>
        <v>122.33500000000001</v>
      </c>
      <c r="AK7" s="11">
        <f t="shared" si="4"/>
        <v>-20.681553040504411</v>
      </c>
      <c r="AL7" s="56">
        <v>38292</v>
      </c>
      <c r="AM7" s="8">
        <f t="shared" ref="AM7:AM16" si="17">IF(F33&gt;0,F33,0)</f>
        <v>754.7437632727549</v>
      </c>
      <c r="AN7" s="8">
        <f t="shared" si="5"/>
        <v>771.13555827142545</v>
      </c>
      <c r="AP7" s="11">
        <v>2004</v>
      </c>
      <c r="AQ7" s="8">
        <f t="shared" ref="AQ7:AQ16" si="18">AM7</f>
        <v>754.7437632727549</v>
      </c>
      <c r="AR7" s="8">
        <f t="shared" si="7"/>
        <v>1134.6691996043135</v>
      </c>
      <c r="BA7" s="56">
        <v>35947</v>
      </c>
      <c r="BB7" s="65">
        <v>0</v>
      </c>
      <c r="BC7" s="65">
        <v>0</v>
      </c>
      <c r="BD7" s="65"/>
      <c r="BE7" s="65"/>
      <c r="BG7" s="38">
        <v>2004</v>
      </c>
      <c r="BH7" s="11">
        <v>148.92007887832762</v>
      </c>
      <c r="BI7" s="11">
        <v>103.76259868351494</v>
      </c>
      <c r="BJ7" s="11">
        <v>46.509842519685037</v>
      </c>
      <c r="BK7" s="11">
        <v>25.185433072367992</v>
      </c>
      <c r="BL7" s="11">
        <v>21.286220467935397</v>
      </c>
      <c r="BM7" s="11">
        <v>18.925590537664458</v>
      </c>
      <c r="BN7" s="11">
        <v>51.724409448818896</v>
      </c>
      <c r="BO7" s="11">
        <v>35.153543307086615</v>
      </c>
      <c r="BP7" s="11">
        <v>36.248031496062993</v>
      </c>
      <c r="BQ7" s="11">
        <v>40.763779527559052</v>
      </c>
      <c r="BR7" s="11">
        <v>83.023622047244089</v>
      </c>
      <c r="BS7" s="11">
        <v>189.0708661417323</v>
      </c>
      <c r="BT7" s="11">
        <v>800.57401612799936</v>
      </c>
      <c r="BU7" s="11">
        <f t="shared" si="8"/>
        <v>388.34251968503941</v>
      </c>
      <c r="BV7" s="38">
        <v>2004</v>
      </c>
      <c r="BW7" s="8">
        <v>8929.4</v>
      </c>
      <c r="BX7">
        <v>53</v>
      </c>
      <c r="BY7" s="8">
        <f t="shared" si="9"/>
        <v>4989.4736842105258</v>
      </c>
      <c r="BZ7" s="8">
        <f t="shared" si="10"/>
        <v>3939.9263157894738</v>
      </c>
    </row>
    <row r="8" spans="1:78" x14ac:dyDescent="0.25">
      <c r="A8" s="38">
        <v>2004</v>
      </c>
      <c r="B8" s="11">
        <v>184.90399938964845</v>
      </c>
      <c r="C8" s="11">
        <v>89.835999816894528</v>
      </c>
      <c r="D8" s="11">
        <v>55.34800012207031</v>
      </c>
      <c r="E8" s="11">
        <v>28.075199935913087</v>
      </c>
      <c r="F8" s="11">
        <v>19.671199981689455</v>
      </c>
      <c r="G8" s="11">
        <v>20.023999938964845</v>
      </c>
      <c r="H8" s="11">
        <v>47.488</v>
      </c>
      <c r="I8" s="11">
        <v>39.176000000000002</v>
      </c>
      <c r="J8" s="11">
        <v>46.103999999999999</v>
      </c>
      <c r="K8" s="11">
        <v>48.256</v>
      </c>
      <c r="L8" s="11">
        <v>89.304000000000002</v>
      </c>
      <c r="M8" s="11">
        <v>233.94399999999999</v>
      </c>
      <c r="N8" s="11">
        <v>902.13039918518052</v>
      </c>
      <c r="O8" s="11">
        <f t="shared" si="11"/>
        <v>439.91999999999996</v>
      </c>
      <c r="P8" s="11">
        <f t="shared" si="12"/>
        <v>220.71919992065429</v>
      </c>
      <c r="Q8" s="56">
        <v>35977</v>
      </c>
      <c r="R8" s="8">
        <v>0</v>
      </c>
      <c r="S8" s="8">
        <v>82.093000000000004</v>
      </c>
      <c r="X8" s="56">
        <f>T96</f>
        <v>38657</v>
      </c>
      <c r="Y8" s="8">
        <f t="shared" ref="Y8:Z8" si="19">U96</f>
        <v>1360.8103000000001</v>
      </c>
      <c r="Z8" s="8">
        <f t="shared" si="19"/>
        <v>476.36500000000001</v>
      </c>
      <c r="AB8" s="56">
        <v>38657</v>
      </c>
      <c r="AC8" s="8">
        <v>2288.9500000000003</v>
      </c>
      <c r="AH8" s="56">
        <v>38657</v>
      </c>
      <c r="AI8" s="8">
        <f t="shared" si="1"/>
        <v>1360.8103000000001</v>
      </c>
      <c r="AJ8" s="8">
        <f t="shared" si="2"/>
        <v>476.36500000000001</v>
      </c>
      <c r="AK8" s="11">
        <f t="shared" si="4"/>
        <v>194.21924720668804</v>
      </c>
      <c r="AL8" s="56">
        <v>38657</v>
      </c>
      <c r="AM8" s="8">
        <f t="shared" si="17"/>
        <v>875.83810599221624</v>
      </c>
      <c r="AN8" s="8">
        <f t="shared" si="5"/>
        <v>1070.2424850485204</v>
      </c>
      <c r="AP8" s="11">
        <v>2005</v>
      </c>
      <c r="AQ8" s="8">
        <f t="shared" si="18"/>
        <v>875.83810599221624</v>
      </c>
      <c r="AR8" s="8">
        <f t="shared" si="7"/>
        <v>1103.2969277437751</v>
      </c>
      <c r="BA8" s="56">
        <v>35977</v>
      </c>
      <c r="BB8" s="65">
        <v>0</v>
      </c>
      <c r="BC8" s="65">
        <v>0</v>
      </c>
      <c r="BD8" s="65"/>
      <c r="BE8" s="65"/>
      <c r="BG8" s="38">
        <v>2005</v>
      </c>
      <c r="BH8" s="11">
        <v>57.1496062992126</v>
      </c>
      <c r="BI8" s="11">
        <v>33.972440944881889</v>
      </c>
      <c r="BJ8" s="11">
        <v>25.125984251968504</v>
      </c>
      <c r="BK8" s="11">
        <v>0.15354330708661418</v>
      </c>
      <c r="BL8" s="11">
        <v>12.62992125984252</v>
      </c>
      <c r="BM8" s="11">
        <v>157.14173228346456</v>
      </c>
      <c r="BN8" s="11">
        <v>45.048425178828204</v>
      </c>
      <c r="BO8" s="11">
        <v>17.740944899911955</v>
      </c>
      <c r="BP8" s="11">
        <v>68.868897821020894</v>
      </c>
      <c r="BQ8" s="11">
        <v>61.275984291016584</v>
      </c>
      <c r="BR8" s="11">
        <v>110.44685018344188</v>
      </c>
      <c r="BS8" s="11">
        <v>42.820078744663029</v>
      </c>
      <c r="BT8" s="11">
        <v>632.37440946533923</v>
      </c>
      <c r="BU8" s="11">
        <f t="shared" si="8"/>
        <v>279.72283430550038</v>
      </c>
      <c r="BV8" s="38">
        <v>2005</v>
      </c>
      <c r="BW8" s="8">
        <v>10043.390000000001</v>
      </c>
      <c r="BX8">
        <v>47</v>
      </c>
      <c r="BY8" s="8">
        <f t="shared" si="9"/>
        <v>5115.78947368421</v>
      </c>
      <c r="BZ8" s="8">
        <f t="shared" si="10"/>
        <v>4927.6005263157913</v>
      </c>
    </row>
    <row r="9" spans="1:78" x14ac:dyDescent="0.25">
      <c r="A9" s="38">
        <v>2005</v>
      </c>
      <c r="B9" s="11">
        <v>54.311999999999998</v>
      </c>
      <c r="C9" s="11">
        <v>40.984000000000002</v>
      </c>
      <c r="D9" s="11">
        <v>21.376000000000001</v>
      </c>
      <c r="E9" s="11">
        <v>1.528</v>
      </c>
      <c r="F9" s="11">
        <v>21.52</v>
      </c>
      <c r="G9" s="11">
        <v>195.952</v>
      </c>
      <c r="H9" s="11">
        <v>44.323199859619137</v>
      </c>
      <c r="I9" s="11">
        <v>22.523199935913087</v>
      </c>
      <c r="J9" s="11">
        <v>84.602400329589841</v>
      </c>
      <c r="K9" s="11">
        <v>66.699200042724613</v>
      </c>
      <c r="L9" s="11">
        <v>120.08399975585938</v>
      </c>
      <c r="M9" s="11">
        <v>68.583200103759765</v>
      </c>
      <c r="N9" s="11">
        <v>742.48720002746586</v>
      </c>
      <c r="O9" s="11">
        <f t="shared" si="11"/>
        <v>369.99120034790042</v>
      </c>
      <c r="P9" s="11">
        <f t="shared" si="12"/>
        <v>435.62000016784674</v>
      </c>
      <c r="Q9" s="56">
        <v>36008</v>
      </c>
      <c r="R9" s="8">
        <v>0</v>
      </c>
      <c r="S9" s="8">
        <v>15.071</v>
      </c>
      <c r="X9" s="56">
        <f>T108</f>
        <v>39022</v>
      </c>
      <c r="Y9" s="8">
        <f t="shared" ref="Y9:Z9" si="20">U108</f>
        <v>0</v>
      </c>
      <c r="Z9" s="8">
        <f t="shared" si="20"/>
        <v>23.054400000000001</v>
      </c>
      <c r="AB9" s="56">
        <v>39022</v>
      </c>
      <c r="AC9" s="8">
        <v>1713.53</v>
      </c>
      <c r="AD9" s="8">
        <f t="array" ref="AD9:AD16">TRANSPOSE(E24:L24)</f>
        <v>22932.03</v>
      </c>
      <c r="AE9" s="11">
        <v>251.47119978332518</v>
      </c>
      <c r="AH9" s="56">
        <v>39022</v>
      </c>
      <c r="AI9" s="8">
        <f t="shared" si="1"/>
        <v>0</v>
      </c>
      <c r="AJ9" s="8">
        <f t="shared" si="2"/>
        <v>23.054400000000001</v>
      </c>
      <c r="AK9" s="11">
        <f t="shared" si="4"/>
        <v>-77.385552929878202</v>
      </c>
      <c r="AL9" s="56">
        <v>39022</v>
      </c>
      <c r="AM9" s="8">
        <f t="shared" si="17"/>
        <v>0</v>
      </c>
      <c r="AN9" s="8">
        <f t="shared" si="5"/>
        <v>36.574311133862395</v>
      </c>
      <c r="AP9" s="11">
        <v>2006</v>
      </c>
      <c r="AQ9" s="8">
        <f t="shared" si="18"/>
        <v>0</v>
      </c>
      <c r="AR9" s="8">
        <f t="shared" si="7"/>
        <v>27.284406877620178</v>
      </c>
      <c r="BA9" s="56">
        <v>36008</v>
      </c>
      <c r="BB9" s="65">
        <v>0</v>
      </c>
      <c r="BC9" s="65">
        <v>0</v>
      </c>
      <c r="BD9" s="65"/>
      <c r="BE9" s="65"/>
      <c r="BG9" s="38">
        <v>2006</v>
      </c>
      <c r="BH9" s="11">
        <v>50.174409524662288</v>
      </c>
      <c r="BI9" s="11">
        <v>58.992125773993067</v>
      </c>
      <c r="BJ9" s="11">
        <v>17.289370078740159</v>
      </c>
      <c r="BK9" s="11">
        <v>49.661023575489914</v>
      </c>
      <c r="BL9" s="11">
        <v>0.46574803177765972</v>
      </c>
      <c r="BM9" s="11">
        <v>47.279527393851694</v>
      </c>
      <c r="BN9" s="11">
        <v>70.061023667102717</v>
      </c>
      <c r="BO9" s="11">
        <v>7.305118091463104</v>
      </c>
      <c r="BP9" s="11">
        <v>38.303936995859225</v>
      </c>
      <c r="BQ9" s="11">
        <v>9.4122047283518029</v>
      </c>
      <c r="BR9" s="11">
        <v>53.646063046192559</v>
      </c>
      <c r="BS9" s="11">
        <v>22.58267712029885</v>
      </c>
      <c r="BT9" s="11">
        <v>425.17322802778307</v>
      </c>
      <c r="BU9" s="11">
        <f t="shared" si="8"/>
        <v>280.47677159497118</v>
      </c>
      <c r="BV9" s="38">
        <v>2006</v>
      </c>
      <c r="BW9" s="8">
        <v>6920.98</v>
      </c>
      <c r="BX9">
        <v>2</v>
      </c>
      <c r="BY9" s="8">
        <f t="shared" si="9"/>
        <v>6063.1578947368416</v>
      </c>
      <c r="BZ9" s="8">
        <f t="shared" si="10"/>
        <v>857.82210526315794</v>
      </c>
    </row>
    <row r="10" spans="1:78" x14ac:dyDescent="0.25">
      <c r="A10" s="38">
        <v>2006</v>
      </c>
      <c r="B10" s="11">
        <v>62.380800140380856</v>
      </c>
      <c r="C10" s="11">
        <v>94.620800354003904</v>
      </c>
      <c r="D10" s="11">
        <v>24.322399993896486</v>
      </c>
      <c r="E10" s="11">
        <v>40.895999862670898</v>
      </c>
      <c r="F10" s="11">
        <v>0.22720000839233398</v>
      </c>
      <c r="G10" s="11">
        <v>47.327200103759765</v>
      </c>
      <c r="H10" s="11">
        <v>70.371999969482417</v>
      </c>
      <c r="I10" s="11">
        <v>10.526399974822999</v>
      </c>
      <c r="J10" s="11">
        <v>24.894400009155273</v>
      </c>
      <c r="K10" s="11">
        <v>10.667999965667725</v>
      </c>
      <c r="L10" s="11">
        <v>65.708799957275389</v>
      </c>
      <c r="M10" s="11">
        <v>21.192800018310546</v>
      </c>
      <c r="N10" s="11">
        <v>473.13680035781863</v>
      </c>
      <c r="O10" s="11">
        <f>SUM(L10:M10)+SUM(B11:D11)</f>
        <v>251.47119978332518</v>
      </c>
      <c r="P10" s="11">
        <f t="shared" si="12"/>
        <v>164.0152000312805</v>
      </c>
      <c r="Q10" s="56">
        <v>36039</v>
      </c>
      <c r="R10" s="8">
        <v>0</v>
      </c>
      <c r="S10" s="8">
        <v>21.494</v>
      </c>
      <c r="X10" s="56">
        <f>T120</f>
        <v>39387</v>
      </c>
      <c r="Y10" s="8">
        <f t="shared" ref="Y10:Z10" si="21">U120</f>
        <v>738.42920000000004</v>
      </c>
      <c r="Z10" s="8">
        <f t="shared" si="21"/>
        <v>531.19000000000005</v>
      </c>
      <c r="AB10" s="56">
        <v>39387</v>
      </c>
      <c r="AC10" s="8">
        <v>1293.01</v>
      </c>
      <c r="AD10" s="8">
        <v>18205.54</v>
      </c>
      <c r="AE10" s="11">
        <v>405.608</v>
      </c>
      <c r="AH10" s="56">
        <v>39387</v>
      </c>
      <c r="AI10" s="8">
        <f t="shared" si="1"/>
        <v>738.42920000000004</v>
      </c>
      <c r="AJ10" s="8">
        <f t="shared" si="2"/>
        <v>531.19000000000005</v>
      </c>
      <c r="AK10" s="11">
        <f t="shared" si="4"/>
        <v>-4.4871531991958307</v>
      </c>
      <c r="AL10" s="56">
        <v>39387</v>
      </c>
      <c r="AM10" s="8">
        <f t="shared" si="17"/>
        <v>0</v>
      </c>
      <c r="AN10" s="8">
        <f t="shared" si="5"/>
        <v>1013.3695844807866</v>
      </c>
      <c r="AP10" s="11">
        <v>2007</v>
      </c>
      <c r="AQ10" s="8">
        <f t="shared" si="18"/>
        <v>0</v>
      </c>
      <c r="AR10" s="8">
        <f t="shared" si="7"/>
        <v>921.4219462184933</v>
      </c>
      <c r="BA10" s="56">
        <v>36039</v>
      </c>
      <c r="BB10" s="65">
        <v>12.346</v>
      </c>
      <c r="BC10" s="65">
        <v>25.263000000000002</v>
      </c>
      <c r="BD10" s="65"/>
      <c r="BE10" s="65"/>
      <c r="BG10" s="38">
        <v>2007</v>
      </c>
      <c r="BH10" s="11">
        <v>37.800787400072956</v>
      </c>
      <c r="BI10" s="11">
        <v>82.04251980218362</v>
      </c>
      <c r="BJ10" s="11">
        <v>84.404724226223209</v>
      </c>
      <c r="BK10" s="11">
        <v>20.759842515930416</v>
      </c>
      <c r="BL10" s="11">
        <v>51.09212613293505</v>
      </c>
      <c r="BM10" s="11">
        <v>76.649999948937122</v>
      </c>
      <c r="BN10" s="11">
        <v>7.7244094488188972</v>
      </c>
      <c r="BO10" s="11">
        <v>58.343700791907125</v>
      </c>
      <c r="BP10" s="11">
        <v>1.204724409448819</v>
      </c>
      <c r="BQ10" s="11">
        <v>37.724409448818896</v>
      </c>
      <c r="BR10" s="11">
        <v>61.011811023622045</v>
      </c>
      <c r="BS10" s="11">
        <v>156.1771653543307</v>
      </c>
      <c r="BT10" s="11">
        <v>674.93622050322881</v>
      </c>
      <c r="BU10" s="11">
        <f t="shared" si="8"/>
        <v>400.28346456692913</v>
      </c>
      <c r="BV10" s="38">
        <v>2007</v>
      </c>
      <c r="BW10" s="8">
        <v>5879.3200000000006</v>
      </c>
      <c r="BX10">
        <v>5</v>
      </c>
      <c r="BY10" s="8">
        <f t="shared" si="9"/>
        <v>6000</v>
      </c>
      <c r="BZ10" s="8">
        <f t="shared" si="10"/>
        <v>-120.67999999999938</v>
      </c>
    </row>
    <row r="11" spans="1:78" x14ac:dyDescent="0.25">
      <c r="A11" s="38">
        <v>2007</v>
      </c>
      <c r="B11" s="11">
        <v>30.570399826049805</v>
      </c>
      <c r="C11" s="11">
        <v>75.974399993896483</v>
      </c>
      <c r="D11" s="11">
        <v>58.024799987792967</v>
      </c>
      <c r="E11" s="11">
        <v>25.097600006103516</v>
      </c>
      <c r="F11" s="11">
        <v>44.61759991455078</v>
      </c>
      <c r="G11" s="11">
        <v>79.140799896240239</v>
      </c>
      <c r="H11" s="11">
        <v>8.8320000000000007</v>
      </c>
      <c r="I11" s="11">
        <v>52.491199951171872</v>
      </c>
      <c r="J11" s="11">
        <v>1.92</v>
      </c>
      <c r="K11" s="11">
        <v>49.911999999999999</v>
      </c>
      <c r="L11" s="11">
        <v>48.08</v>
      </c>
      <c r="M11" s="11">
        <v>138</v>
      </c>
      <c r="N11" s="11">
        <v>612.66079957580564</v>
      </c>
      <c r="O11" s="11">
        <f t="shared" ref="O11:O18" si="22">SUM(L11:M11)+SUM(B12:D12)</f>
        <v>405.608</v>
      </c>
      <c r="P11" s="11">
        <f t="shared" si="12"/>
        <v>236.91359976196287</v>
      </c>
      <c r="Q11" s="56">
        <v>36069</v>
      </c>
      <c r="R11" s="8">
        <v>21.599</v>
      </c>
      <c r="S11" s="8">
        <v>113.61</v>
      </c>
      <c r="U11" t="s">
        <v>342</v>
      </c>
      <c r="V11" t="s">
        <v>285</v>
      </c>
      <c r="X11" s="56">
        <f>T132</f>
        <v>39753</v>
      </c>
      <c r="Y11" s="8">
        <f t="shared" ref="Y11:Z11" si="23">U132</f>
        <v>752.42699999999991</v>
      </c>
      <c r="Z11" s="8">
        <f t="shared" si="23"/>
        <v>265.22149999999999</v>
      </c>
      <c r="AB11" s="56">
        <v>39753</v>
      </c>
      <c r="AC11" s="8">
        <v>1714.18</v>
      </c>
      <c r="AD11" s="8">
        <v>15725.31</v>
      </c>
      <c r="AE11" s="11">
        <v>369.08000045967106</v>
      </c>
      <c r="AH11" s="56">
        <v>39753</v>
      </c>
      <c r="AI11" s="8">
        <f t="shared" si="1"/>
        <v>752.42699999999991</v>
      </c>
      <c r="AJ11" s="8">
        <f t="shared" si="2"/>
        <v>265.22149999999999</v>
      </c>
      <c r="AK11" s="11">
        <f t="shared" si="4"/>
        <v>43.824847090721192</v>
      </c>
      <c r="AL11" s="56">
        <v>39753</v>
      </c>
      <c r="AM11" s="8">
        <f t="shared" si="17"/>
        <v>407.40056568341902</v>
      </c>
      <c r="AN11" s="8">
        <f t="shared" si="5"/>
        <v>594.66307273442146</v>
      </c>
      <c r="AP11" s="11">
        <v>2008</v>
      </c>
      <c r="AQ11" s="8">
        <f t="shared" si="18"/>
        <v>407.40056568341902</v>
      </c>
      <c r="AR11" s="8">
        <f t="shared" si="7"/>
        <v>612.20350567066271</v>
      </c>
      <c r="BA11" s="56">
        <v>36069</v>
      </c>
      <c r="BB11" s="65">
        <v>0</v>
      </c>
      <c r="BC11" s="65">
        <v>0</v>
      </c>
      <c r="BD11" s="65" t="s">
        <v>250</v>
      </c>
      <c r="BE11" s="65" t="s">
        <v>251</v>
      </c>
      <c r="BG11" s="38">
        <v>2008</v>
      </c>
      <c r="BH11" s="11">
        <v>70.7992125984252</v>
      </c>
      <c r="BI11" s="11">
        <v>107.75590551181102</v>
      </c>
      <c r="BJ11" s="11">
        <v>4.5393700787401574</v>
      </c>
      <c r="BK11" s="11">
        <v>19.759842519685041</v>
      </c>
      <c r="BL11" s="11">
        <v>20.460629921259841</v>
      </c>
      <c r="BM11" s="11">
        <v>67.929133858267718</v>
      </c>
      <c r="BN11" s="11">
        <v>29.12677164903776</v>
      </c>
      <c r="BO11" s="11">
        <v>33.967716509901635</v>
      </c>
      <c r="BP11" s="11">
        <v>68.165354105431263</v>
      </c>
      <c r="BQ11" s="11">
        <v>72.326771638524818</v>
      </c>
      <c r="BR11" s="11">
        <v>146.62283463365449</v>
      </c>
      <c r="BS11" s="11">
        <v>74.518897574717599</v>
      </c>
      <c r="BT11" s="11">
        <v>715.9724405994566</v>
      </c>
      <c r="BU11" s="11">
        <f t="shared" si="8"/>
        <v>386.80472447928486</v>
      </c>
      <c r="BV11" s="38">
        <v>2008</v>
      </c>
      <c r="BW11" s="8">
        <v>5581.7599999999993</v>
      </c>
      <c r="BX11">
        <v>22</v>
      </c>
      <c r="BY11" s="8">
        <f t="shared" si="9"/>
        <v>5642.1052631578941</v>
      </c>
      <c r="BZ11" s="8">
        <f t="shared" si="10"/>
        <v>-60.345263157894806</v>
      </c>
    </row>
    <row r="12" spans="1:78" x14ac:dyDescent="0.25">
      <c r="A12" s="38">
        <v>2008</v>
      </c>
      <c r="B12" s="11">
        <v>89.744</v>
      </c>
      <c r="C12" s="11">
        <v>123.76</v>
      </c>
      <c r="D12" s="11">
        <v>6.024</v>
      </c>
      <c r="E12" s="11">
        <v>16.103999999999999</v>
      </c>
      <c r="F12" s="11">
        <v>12.752000000000001</v>
      </c>
      <c r="G12" s="11">
        <v>65.400000000000006</v>
      </c>
      <c r="H12" s="11">
        <v>29.580000030517578</v>
      </c>
      <c r="I12" s="11">
        <v>26.904799942016602</v>
      </c>
      <c r="J12" s="11">
        <v>86.110400207519533</v>
      </c>
      <c r="K12" s="11">
        <v>64.47839987182617</v>
      </c>
      <c r="L12" s="11">
        <v>118.61440039062499</v>
      </c>
      <c r="M12" s="11">
        <v>90.352800109863281</v>
      </c>
      <c r="N12" s="11">
        <v>729.82480055236817</v>
      </c>
      <c r="O12" s="11">
        <f t="shared" si="22"/>
        <v>369.08000045967106</v>
      </c>
      <c r="P12" s="11">
        <f t="shared" si="12"/>
        <v>285.22560005187989</v>
      </c>
      <c r="Q12" s="56">
        <v>36100</v>
      </c>
      <c r="R12" s="8">
        <v>50.741</v>
      </c>
      <c r="S12" s="8">
        <v>18.486999999999998</v>
      </c>
      <c r="T12" s="56">
        <f>Q12</f>
        <v>36100</v>
      </c>
      <c r="U12" s="8">
        <f>SUM(R8:R16)</f>
        <v>2708.5499999999997</v>
      </c>
      <c r="V12" s="8">
        <f>SUM(S2:S11)</f>
        <v>376.33800000000002</v>
      </c>
      <c r="X12" s="56">
        <f>T144</f>
        <v>40118</v>
      </c>
      <c r="Y12" s="8">
        <f t="shared" ref="Y12:Z12" si="24">U144</f>
        <v>930.40900923990012</v>
      </c>
      <c r="Z12" s="8">
        <f t="shared" si="24"/>
        <v>290.637</v>
      </c>
      <c r="AB12" s="56">
        <v>40118</v>
      </c>
      <c r="AC12" s="8">
        <v>2453.6199999999994</v>
      </c>
      <c r="AD12" s="8">
        <v>14915.640000000001</v>
      </c>
      <c r="AE12" s="11">
        <v>440.54560014343264</v>
      </c>
      <c r="AH12" s="56">
        <v>40118</v>
      </c>
      <c r="AI12" s="8">
        <f t="shared" si="1"/>
        <v>930.40900923990012</v>
      </c>
      <c r="AJ12" s="8">
        <f t="shared" si="2"/>
        <v>290.637</v>
      </c>
      <c r="AK12" s="11">
        <f t="shared" si="4"/>
        <v>-31.967153050422638</v>
      </c>
      <c r="AL12" s="56">
        <v>40118</v>
      </c>
      <c r="AM12" s="8">
        <f t="shared" si="17"/>
        <v>1135.8653945263779</v>
      </c>
      <c r="AN12" s="8">
        <f t="shared" si="5"/>
        <v>676.11960173887724</v>
      </c>
      <c r="AP12" s="11">
        <v>2009</v>
      </c>
      <c r="AQ12" s="8">
        <f t="shared" si="18"/>
        <v>1135.8653945263779</v>
      </c>
      <c r="AR12" s="8">
        <f t="shared" si="7"/>
        <v>712.84784058125479</v>
      </c>
      <c r="BA12" s="56">
        <v>36100</v>
      </c>
      <c r="BB12" s="65">
        <v>0</v>
      </c>
      <c r="BC12" s="65">
        <v>0</v>
      </c>
      <c r="BD12" s="65">
        <f>SUM(BB8:BB16)</f>
        <v>1259.096</v>
      </c>
      <c r="BE12" s="65">
        <f>SUM(BC2:BC11)</f>
        <v>26.610600000000002</v>
      </c>
      <c r="BG12" s="38">
        <v>2009</v>
      </c>
      <c r="BH12" s="11">
        <v>36.647637780257099</v>
      </c>
      <c r="BI12" s="11">
        <v>112.84921276663232</v>
      </c>
      <c r="BJ12" s="11">
        <v>16.166141724023294</v>
      </c>
      <c r="BK12" s="11">
        <v>47.283858013904002</v>
      </c>
      <c r="BL12" s="11">
        <v>22.96259834259514</v>
      </c>
      <c r="BM12" s="11">
        <v>45.25787397069255</v>
      </c>
      <c r="BN12" s="11">
        <v>24.562204713896502</v>
      </c>
      <c r="BO12" s="11">
        <v>5.4118110176146503</v>
      </c>
      <c r="BP12" s="11">
        <v>56.09409450921487</v>
      </c>
      <c r="BQ12" s="11">
        <v>45.004330792764982</v>
      </c>
      <c r="BR12" s="11">
        <v>24.863779512916025</v>
      </c>
      <c r="BS12" s="11">
        <v>119.07283443541039</v>
      </c>
      <c r="BT12" s="11">
        <v>556.17637757992179</v>
      </c>
      <c r="BU12" s="11">
        <f t="shared" si="8"/>
        <v>422.33425204397184</v>
      </c>
      <c r="BV12" s="38">
        <v>2009</v>
      </c>
      <c r="BW12" s="8">
        <v>7147.7799999999988</v>
      </c>
      <c r="BX12">
        <v>23</v>
      </c>
      <c r="BY12" s="8">
        <f t="shared" si="9"/>
        <v>5621.0526315789475</v>
      </c>
      <c r="BZ12" s="8">
        <f t="shared" si="10"/>
        <v>1526.7273684210513</v>
      </c>
    </row>
    <row r="13" spans="1:78" x14ac:dyDescent="0.25">
      <c r="A13" s="38">
        <v>2009</v>
      </c>
      <c r="B13" s="11">
        <v>34.186399909973147</v>
      </c>
      <c r="C13" s="11">
        <v>119.92480004882813</v>
      </c>
      <c r="D13" s="11">
        <v>6.0016000003814698</v>
      </c>
      <c r="E13" s="11">
        <v>59.203199920654299</v>
      </c>
      <c r="F13" s="11">
        <v>38.471200119018555</v>
      </c>
      <c r="G13" s="11">
        <v>41.635199920654294</v>
      </c>
      <c r="H13" s="11">
        <v>22.711200042724609</v>
      </c>
      <c r="I13" s="11">
        <v>7.1711999931335448</v>
      </c>
      <c r="J13" s="11">
        <v>47.219999969482423</v>
      </c>
      <c r="K13" s="11">
        <v>52.224799865722659</v>
      </c>
      <c r="L13" s="11">
        <v>21.473599990844725</v>
      </c>
      <c r="M13" s="11">
        <v>127.22959942626953</v>
      </c>
      <c r="N13" s="11">
        <v>577.45279920768746</v>
      </c>
      <c r="O13" s="11">
        <f t="shared" si="22"/>
        <v>440.54560014343264</v>
      </c>
      <c r="P13" s="11">
        <f t="shared" si="12"/>
        <v>209.43359991073606</v>
      </c>
      <c r="Q13" s="56">
        <v>36130</v>
      </c>
      <c r="R13" s="8">
        <v>189.34</v>
      </c>
      <c r="S13" s="8">
        <v>0</v>
      </c>
      <c r="X13" s="56">
        <f>T156</f>
        <v>40483</v>
      </c>
      <c r="Y13" s="8">
        <f t="shared" ref="Y13:Z13" si="25">U156</f>
        <v>1733.6836000000001</v>
      </c>
      <c r="Z13" s="8">
        <f t="shared" si="25"/>
        <v>729.93939999999998</v>
      </c>
      <c r="AB13" s="56">
        <v>40483</v>
      </c>
      <c r="AC13" s="8">
        <v>3442.5899999999997</v>
      </c>
      <c r="AD13" s="8">
        <v>10333.9</v>
      </c>
      <c r="AE13" s="11">
        <v>391.19360009765626</v>
      </c>
      <c r="AH13" s="56">
        <v>40483</v>
      </c>
      <c r="AI13" s="8">
        <f t="shared" si="1"/>
        <v>1733.6836000000001</v>
      </c>
      <c r="AJ13" s="8">
        <f t="shared" si="2"/>
        <v>729.93939999999998</v>
      </c>
      <c r="AK13" s="11">
        <f t="shared" si="4"/>
        <v>126.64724728298191</v>
      </c>
      <c r="AL13" s="56">
        <v>40483</v>
      </c>
      <c r="AM13" s="8">
        <f t="shared" si="17"/>
        <v>2567.7625978452415</v>
      </c>
      <c r="AN13" s="8">
        <f t="shared" si="5"/>
        <v>1558.7029997404034</v>
      </c>
      <c r="AP13" s="11">
        <v>2010</v>
      </c>
      <c r="AQ13" s="8">
        <f t="shared" si="18"/>
        <v>2567.7625978452415</v>
      </c>
      <c r="AR13" s="8">
        <f t="shared" si="7"/>
        <v>1551.2323558391004</v>
      </c>
      <c r="BA13" s="56">
        <v>36130</v>
      </c>
      <c r="BB13" s="65">
        <v>315.16000000000003</v>
      </c>
      <c r="BC13" s="65">
        <v>0</v>
      </c>
      <c r="BD13" s="65"/>
      <c r="BE13" s="65"/>
      <c r="BG13" s="38">
        <v>2010</v>
      </c>
      <c r="BH13" s="11">
        <v>115.57440972515917</v>
      </c>
      <c r="BI13" s="11">
        <v>79.652755977600577</v>
      </c>
      <c r="BJ13" s="11">
        <v>83.170472392885699</v>
      </c>
      <c r="BK13" s="11">
        <v>25.473622066768137</v>
      </c>
      <c r="BL13" s="11">
        <v>36.558267691003998</v>
      </c>
      <c r="BM13" s="11">
        <v>31.774803154111847</v>
      </c>
      <c r="BN13" s="11">
        <v>101.15433081679457</v>
      </c>
      <c r="BO13" s="11">
        <v>61.173228286382724</v>
      </c>
      <c r="BP13" s="11">
        <v>48.153543231994149</v>
      </c>
      <c r="BQ13" s="11">
        <v>81.148819044819035</v>
      </c>
      <c r="BR13" s="11">
        <v>133.49685062198188</v>
      </c>
      <c r="BS13" s="11">
        <v>168.83031535711814</v>
      </c>
      <c r="BT13" s="11">
        <v>966.16141836661984</v>
      </c>
      <c r="BU13" s="11">
        <f t="shared" si="8"/>
        <v>411.71929208124715</v>
      </c>
      <c r="BV13" s="38">
        <v>2010</v>
      </c>
      <c r="BW13" s="8">
        <v>11973.600000000002</v>
      </c>
      <c r="BX13">
        <v>101</v>
      </c>
      <c r="BY13" s="8">
        <f t="shared" si="9"/>
        <v>4000</v>
      </c>
      <c r="BZ13" s="8">
        <f t="shared" si="10"/>
        <v>7973.6000000000022</v>
      </c>
    </row>
    <row r="14" spans="1:78" x14ac:dyDescent="0.25">
      <c r="A14" s="38">
        <v>2010</v>
      </c>
      <c r="B14" s="11">
        <v>116.7592001953125</v>
      </c>
      <c r="C14" s="11">
        <v>101.56880029296875</v>
      </c>
      <c r="D14" s="11">
        <v>73.514400238037112</v>
      </c>
      <c r="E14" s="11">
        <v>25.726400054931641</v>
      </c>
      <c r="F14" s="11">
        <v>33.237600097656248</v>
      </c>
      <c r="G14" s="11">
        <v>34.105600067138674</v>
      </c>
      <c r="H14" s="11">
        <v>88.81200042724609</v>
      </c>
      <c r="I14" s="11">
        <v>68.461599822998053</v>
      </c>
      <c r="J14" s="11">
        <v>57.283199890136721</v>
      </c>
      <c r="K14" s="11">
        <v>86.147999938964844</v>
      </c>
      <c r="L14" s="11">
        <v>132.5063999633789</v>
      </c>
      <c r="M14" s="11">
        <v>125.23520001220703</v>
      </c>
      <c r="N14" s="11">
        <v>943.35840100097676</v>
      </c>
      <c r="O14" s="11">
        <f t="shared" si="22"/>
        <v>391.19360009765626</v>
      </c>
      <c r="P14" s="11">
        <f t="shared" si="12"/>
        <v>368.04800024414061</v>
      </c>
      <c r="Q14" s="56">
        <v>36161</v>
      </c>
      <c r="R14" s="8">
        <v>459.89</v>
      </c>
      <c r="S14" s="8">
        <v>0</v>
      </c>
      <c r="X14" s="56">
        <f>T168</f>
        <v>40848</v>
      </c>
      <c r="Y14" s="8">
        <f t="shared" ref="Y14:Z14" si="26">U168</f>
        <v>3156.893</v>
      </c>
      <c r="Z14" s="8">
        <f t="shared" si="26"/>
        <v>96.355799999999988</v>
      </c>
      <c r="AB14" s="56">
        <v>40848</v>
      </c>
      <c r="AC14" s="8">
        <v>2239.2599999999998</v>
      </c>
      <c r="AD14" s="8">
        <v>7789.7499999999991</v>
      </c>
      <c r="AE14" s="11">
        <v>652.8792006912231</v>
      </c>
      <c r="AH14" s="56">
        <v>40848</v>
      </c>
      <c r="AI14" s="8">
        <f t="shared" si="1"/>
        <v>3156.893</v>
      </c>
      <c r="AJ14" s="8">
        <f t="shared" si="2"/>
        <v>96.355799999999988</v>
      </c>
      <c r="AK14" s="11">
        <f t="shared" si="4"/>
        <v>28.507246659278934</v>
      </c>
      <c r="AL14" s="56">
        <v>40848</v>
      </c>
      <c r="AM14" s="8">
        <f t="shared" si="17"/>
        <v>1392.1470914808301</v>
      </c>
      <c r="AN14" s="8">
        <f t="shared" si="5"/>
        <v>882.50611168751823</v>
      </c>
      <c r="AP14" s="11">
        <v>2011</v>
      </c>
      <c r="AQ14" s="8">
        <f t="shared" si="18"/>
        <v>1392.1470914808301</v>
      </c>
      <c r="AR14" s="8">
        <f t="shared" si="7"/>
        <v>1365.6677619037252</v>
      </c>
      <c r="BA14" s="56">
        <v>36161</v>
      </c>
      <c r="BB14" s="65">
        <v>424.07</v>
      </c>
      <c r="BC14" s="65">
        <v>0</v>
      </c>
      <c r="BD14" s="65"/>
      <c r="BE14" s="65"/>
      <c r="BG14" s="38">
        <v>2011</v>
      </c>
      <c r="BH14" s="11">
        <v>43.559055043017771</v>
      </c>
      <c r="BI14" s="11">
        <v>26.474803237464485</v>
      </c>
      <c r="BJ14" s="11">
        <v>39.358267821664889</v>
      </c>
      <c r="BK14" s="11">
        <v>26.15748029243289</v>
      </c>
      <c r="BL14" s="11">
        <v>48.153936986848123</v>
      </c>
      <c r="BM14" s="11">
        <v>11.385039380216224</v>
      </c>
      <c r="BN14" s="11">
        <v>3.5370078725138989</v>
      </c>
      <c r="BO14" s="11">
        <v>25.181495996910755</v>
      </c>
      <c r="BP14" s="11">
        <v>83.163385946919604</v>
      </c>
      <c r="BQ14" s="11">
        <v>53.289370063721663</v>
      </c>
      <c r="BR14" s="11">
        <v>155.79842511875424</v>
      </c>
      <c r="BS14" s="11">
        <v>84.157873859555707</v>
      </c>
      <c r="BT14" s="11">
        <v>600.21614162002027</v>
      </c>
      <c r="BU14" s="11">
        <f t="shared" si="8"/>
        <v>532.19212591366511</v>
      </c>
      <c r="BV14" s="38">
        <v>2011</v>
      </c>
      <c r="BW14" s="8">
        <v>12720.259999999998</v>
      </c>
      <c r="BX14">
        <v>100</v>
      </c>
      <c r="BY14" s="8">
        <f t="shared" si="9"/>
        <v>4000</v>
      </c>
      <c r="BZ14" s="8">
        <f t="shared" si="10"/>
        <v>8720.2599999999984</v>
      </c>
    </row>
    <row r="15" spans="1:78" x14ac:dyDescent="0.25">
      <c r="A15" s="38">
        <v>2011</v>
      </c>
      <c r="B15" s="11">
        <v>51.465600006103514</v>
      </c>
      <c r="C15" s="11">
        <v>36.790400024414062</v>
      </c>
      <c r="D15" s="11">
        <v>45.196000091552733</v>
      </c>
      <c r="E15" s="11">
        <v>30.421600067138673</v>
      </c>
      <c r="F15" s="11">
        <v>54.445599975585935</v>
      </c>
      <c r="G15" s="11">
        <v>25.223999969482421</v>
      </c>
      <c r="H15" s="11">
        <v>5.9007999897003174</v>
      </c>
      <c r="I15" s="11">
        <v>34.119199905395504</v>
      </c>
      <c r="J15" s="11">
        <v>83.913599731445316</v>
      </c>
      <c r="K15" s="11">
        <v>66.304800048828128</v>
      </c>
      <c r="L15" s="11">
        <v>201.29280029296876</v>
      </c>
      <c r="M15" s="11">
        <v>100.79600000000001</v>
      </c>
      <c r="N15" s="11">
        <v>735.87040010261546</v>
      </c>
      <c r="O15" s="11">
        <f t="shared" si="22"/>
        <v>652.8792006912231</v>
      </c>
      <c r="P15" s="11">
        <f t="shared" si="12"/>
        <v>269.90799962043764</v>
      </c>
      <c r="Q15" s="56">
        <v>36192</v>
      </c>
      <c r="R15" s="8">
        <v>1015.4</v>
      </c>
      <c r="S15" s="8">
        <v>0</v>
      </c>
      <c r="X15" s="56">
        <f>T180</f>
        <v>41214</v>
      </c>
      <c r="Y15" s="8">
        <f t="shared" ref="Y15:Z15" si="27">U180</f>
        <v>3777.0200000000004</v>
      </c>
      <c r="Z15" s="8">
        <f t="shared" si="27"/>
        <v>606.75700000000006</v>
      </c>
      <c r="AB15" s="56">
        <v>41214</v>
      </c>
      <c r="AC15" s="8">
        <v>3192.9</v>
      </c>
      <c r="AD15" s="8">
        <v>17572.259999999998</v>
      </c>
      <c r="AE15" s="11">
        <v>360.51039936065672</v>
      </c>
      <c r="AH15" s="56">
        <v>41214</v>
      </c>
      <c r="AI15" s="8">
        <f t="shared" si="1"/>
        <v>3777.0200000000004</v>
      </c>
      <c r="AJ15" s="8">
        <f t="shared" si="2"/>
        <v>606.75700000000006</v>
      </c>
      <c r="AK15" s="11">
        <f t="shared" si="4"/>
        <v>-28.40235295963285</v>
      </c>
      <c r="AL15" s="56">
        <v>41214</v>
      </c>
      <c r="AM15" s="8">
        <f t="shared" si="17"/>
        <v>1742.963830685424</v>
      </c>
      <c r="AN15" s="8">
        <f t="shared" si="5"/>
        <v>1835.5527547823092</v>
      </c>
      <c r="AP15" s="11">
        <v>2012</v>
      </c>
      <c r="AQ15" s="8">
        <f t="shared" si="18"/>
        <v>1742.963830685424</v>
      </c>
      <c r="AR15" s="8">
        <f t="shared" si="7"/>
        <v>2215.5825959141853</v>
      </c>
      <c r="BA15" s="56">
        <v>36192</v>
      </c>
      <c r="BB15" s="65">
        <v>397.9</v>
      </c>
      <c r="BC15" s="65">
        <v>0</v>
      </c>
      <c r="BD15" s="65"/>
      <c r="BE15" s="65"/>
      <c r="BG15" s="38">
        <v>2012</v>
      </c>
      <c r="BH15" s="11">
        <v>98.128346615888944</v>
      </c>
      <c r="BI15" s="11">
        <v>154.73818903645193</v>
      </c>
      <c r="BJ15" s="11">
        <v>39.369291283014249</v>
      </c>
      <c r="BK15" s="11">
        <v>21.468110245982494</v>
      </c>
      <c r="BL15" s="11">
        <v>46.516929123345321</v>
      </c>
      <c r="BM15" s="11">
        <v>39.449606317234789</v>
      </c>
      <c r="BN15" s="11">
        <v>80.401575013408504</v>
      </c>
      <c r="BO15" s="11">
        <v>9.7555118339268247</v>
      </c>
      <c r="BP15" s="11">
        <v>24.45039363921158</v>
      </c>
      <c r="BQ15" s="11">
        <v>4.9933071239726754</v>
      </c>
      <c r="BR15" s="11">
        <v>22.651574825677347</v>
      </c>
      <c r="BS15" s="11">
        <v>72.672441257266541</v>
      </c>
      <c r="BT15" s="11">
        <v>614.59527631538128</v>
      </c>
      <c r="BU15" s="11">
        <f t="shared" si="8"/>
        <v>369.43818958162319</v>
      </c>
      <c r="BV15" s="38">
        <v>2012</v>
      </c>
      <c r="BW15" s="8">
        <v>9526.9300000000021</v>
      </c>
      <c r="BX15">
        <v>196</v>
      </c>
      <c r="BY15" s="8">
        <f t="shared" si="9"/>
        <v>4000</v>
      </c>
      <c r="BZ15" s="8">
        <f t="shared" si="10"/>
        <v>5526.9300000000021</v>
      </c>
    </row>
    <row r="16" spans="1:78" x14ac:dyDescent="0.25">
      <c r="A16" s="38">
        <v>2012</v>
      </c>
      <c r="B16" s="11">
        <v>125.594400390625</v>
      </c>
      <c r="C16" s="11">
        <v>202.04959997558595</v>
      </c>
      <c r="D16" s="11">
        <v>23.146400032043456</v>
      </c>
      <c r="E16" s="11">
        <v>31.719999938964843</v>
      </c>
      <c r="F16" s="11">
        <v>39.835999999999999</v>
      </c>
      <c r="G16" s="11">
        <v>44.113600036621094</v>
      </c>
      <c r="H16" s="11">
        <v>80.159199890136719</v>
      </c>
      <c r="I16" s="11">
        <v>12.592799957275391</v>
      </c>
      <c r="J16" s="11">
        <v>22.519200027465821</v>
      </c>
      <c r="K16" s="11">
        <v>13.777600090026855</v>
      </c>
      <c r="L16" s="11">
        <v>27.572800086975096</v>
      </c>
      <c r="M16" s="11">
        <v>43.936</v>
      </c>
      <c r="N16" s="11">
        <v>667.01760042572027</v>
      </c>
      <c r="O16" s="11">
        <f t="shared" si="22"/>
        <v>360.51039936065672</v>
      </c>
      <c r="P16" s="11">
        <f t="shared" si="12"/>
        <v>212.99840000152585</v>
      </c>
      <c r="Q16" s="56">
        <v>36220</v>
      </c>
      <c r="R16" s="8">
        <v>971.58</v>
      </c>
      <c r="S16" s="8">
        <v>0</v>
      </c>
      <c r="X16" s="56">
        <f>T192</f>
        <v>41579</v>
      </c>
      <c r="Y16" s="8">
        <f t="shared" ref="Y16:Z16" si="28">U192</f>
        <v>4568.3</v>
      </c>
      <c r="Z16" s="8">
        <f t="shared" si="28"/>
        <v>106.85</v>
      </c>
      <c r="AB16" s="56">
        <v>41579</v>
      </c>
      <c r="AC16" s="8">
        <v>2396.7799999999997</v>
      </c>
      <c r="AD16" s="8">
        <v>20690.830000000002</v>
      </c>
      <c r="AE16" s="11">
        <v>302.48720078277586</v>
      </c>
      <c r="AH16" s="56">
        <v>41579</v>
      </c>
      <c r="AI16" s="8">
        <f t="shared" si="1"/>
        <v>4568.3</v>
      </c>
      <c r="AJ16" s="8">
        <f t="shared" si="2"/>
        <v>106.85</v>
      </c>
      <c r="AK16" s="11">
        <f t="shared" si="4"/>
        <v>-51.411152432441668</v>
      </c>
      <c r="AL16" s="56">
        <v>41579</v>
      </c>
      <c r="AM16" s="8">
        <f t="shared" si="17"/>
        <v>767.52504544868157</v>
      </c>
      <c r="AN16" s="8">
        <f t="shared" si="5"/>
        <v>1225.369046158879</v>
      </c>
      <c r="AP16" s="11">
        <v>2013</v>
      </c>
      <c r="AQ16" s="8">
        <f t="shared" si="18"/>
        <v>767.52504544868157</v>
      </c>
      <c r="AR16" s="8">
        <f t="shared" si="7"/>
        <v>1937.6765898001022</v>
      </c>
      <c r="BA16" s="56">
        <v>36220</v>
      </c>
      <c r="BB16" s="65">
        <v>109.62</v>
      </c>
      <c r="BC16" s="65">
        <v>0</v>
      </c>
      <c r="BD16" s="65"/>
      <c r="BE16" s="65"/>
      <c r="BG16" s="38">
        <v>2013</v>
      </c>
      <c r="BH16" s="11">
        <v>138.47519701860082</v>
      </c>
      <c r="BI16" s="11">
        <v>58.669684898196245</v>
      </c>
      <c r="BJ16" s="11">
        <v>76.96929158188226</v>
      </c>
      <c r="BK16" s="11">
        <v>1.6122047319186954</v>
      </c>
      <c r="BL16" s="11">
        <v>21.93818903720285</v>
      </c>
      <c r="BM16" s="11">
        <v>88.612204754446438</v>
      </c>
      <c r="BN16" s="11">
        <v>30.802362239266944</v>
      </c>
      <c r="BO16" s="11">
        <v>4.2370078723261679</v>
      </c>
      <c r="BP16" s="11">
        <v>26.180708667424721</v>
      </c>
      <c r="BQ16" s="11">
        <v>9.7507873951919439</v>
      </c>
      <c r="BR16" s="11">
        <v>67.89173232852005</v>
      </c>
      <c r="BS16" s="11">
        <v>21.578740112424835</v>
      </c>
      <c r="BT16" s="11">
        <v>546.71811063740188</v>
      </c>
      <c r="BU16" s="11">
        <f t="shared" si="8"/>
        <v>266.86614162903129</v>
      </c>
      <c r="BV16" s="38">
        <v>2013</v>
      </c>
      <c r="BW16" s="8">
        <v>10080.580000000004</v>
      </c>
      <c r="BX16">
        <v>83</v>
      </c>
      <c r="BY16" s="8">
        <f t="shared" si="9"/>
        <v>4357.894736842105</v>
      </c>
      <c r="BZ16" s="8">
        <f t="shared" si="10"/>
        <v>5722.6852631578986</v>
      </c>
    </row>
    <row r="17" spans="1:78" x14ac:dyDescent="0.25">
      <c r="A17" s="38">
        <v>2013</v>
      </c>
      <c r="B17" s="11">
        <v>124.57439996337891</v>
      </c>
      <c r="C17" s="11">
        <v>66.744799835205072</v>
      </c>
      <c r="D17" s="11">
        <v>97.682399475097654</v>
      </c>
      <c r="E17" s="11">
        <v>2.7088000140190123</v>
      </c>
      <c r="F17" s="11">
        <v>26.312799995422363</v>
      </c>
      <c r="G17" s="11">
        <v>99.440800537109368</v>
      </c>
      <c r="H17" s="11">
        <v>29.655999984741211</v>
      </c>
      <c r="I17" s="11">
        <v>4.4903999862670902</v>
      </c>
      <c r="J17" s="11">
        <v>20.183200027465819</v>
      </c>
      <c r="K17" s="11">
        <v>9.9063999977111816</v>
      </c>
      <c r="L17" s="11">
        <v>75.639200195312497</v>
      </c>
      <c r="M17" s="11">
        <v>20.371199943542482</v>
      </c>
      <c r="N17" s="11">
        <v>577.71039995527269</v>
      </c>
      <c r="O17" s="11">
        <f t="shared" si="22"/>
        <v>302.48720078277586</v>
      </c>
      <c r="P17" s="11">
        <f t="shared" si="12"/>
        <v>189.98960052871703</v>
      </c>
      <c r="Q17" s="56">
        <v>36251</v>
      </c>
      <c r="R17" s="8">
        <v>11.606999999999999</v>
      </c>
      <c r="S17" s="8">
        <v>0</v>
      </c>
      <c r="AI17" s="24" t="s">
        <v>272</v>
      </c>
      <c r="AJ17" s="24" t="s">
        <v>271</v>
      </c>
      <c r="AL17" t="s">
        <v>401</v>
      </c>
      <c r="AM17" t="s">
        <v>272</v>
      </c>
      <c r="AN17" t="s">
        <v>271</v>
      </c>
      <c r="AP17" s="23" t="s">
        <v>272</v>
      </c>
      <c r="AQ17" s="23" t="s">
        <v>271</v>
      </c>
      <c r="BA17" s="56">
        <v>36251</v>
      </c>
      <c r="BB17" s="65">
        <v>3.1688999999999998</v>
      </c>
      <c r="BC17" s="65">
        <v>0</v>
      </c>
      <c r="BD17" s="65"/>
      <c r="BE17" s="65"/>
      <c r="BG17" s="38">
        <v>2014</v>
      </c>
      <c r="BH17" s="11">
        <v>3.8133858376600611</v>
      </c>
      <c r="BI17" s="11">
        <v>37.76692917591005</v>
      </c>
      <c r="BJ17" s="11">
        <v>135.81535417451633</v>
      </c>
      <c r="BK17" s="11">
        <v>20.524409481859582</v>
      </c>
      <c r="BL17" s="11">
        <v>17.222834741036724</v>
      </c>
      <c r="BM17" s="11">
        <v>47.970078911368304</v>
      </c>
      <c r="BN17" s="11">
        <v>20.414173250123273</v>
      </c>
      <c r="BO17" s="11">
        <v>52.523621957133138</v>
      </c>
      <c r="BP17" s="11">
        <v>17.379133859018641</v>
      </c>
      <c r="BQ17" s="11">
        <v>14.829527537653766</v>
      </c>
      <c r="BR17" s="11">
        <v>21.968110230964001</v>
      </c>
      <c r="BS17" s="11">
        <v>114.9350394601897</v>
      </c>
      <c r="BT17" s="11">
        <v>505.16259861743356</v>
      </c>
      <c r="BU17" s="11">
        <f t="shared" si="8"/>
        <v>255.67480342219196</v>
      </c>
    </row>
    <row r="18" spans="1:78" x14ac:dyDescent="0.25">
      <c r="A18" s="38">
        <v>2014</v>
      </c>
      <c r="B18" s="11">
        <v>7.0775999908447265</v>
      </c>
      <c r="C18" s="11">
        <v>46.986399993896484</v>
      </c>
      <c r="D18" s="11">
        <v>152.41280065917968</v>
      </c>
      <c r="E18" s="11">
        <v>10.034400005340576</v>
      </c>
      <c r="F18" s="11">
        <v>19.562400009155272</v>
      </c>
      <c r="G18" s="11">
        <v>55.782400115966794</v>
      </c>
      <c r="H18" s="11">
        <v>12.540800025939941</v>
      </c>
      <c r="I18" s="11">
        <v>73.867200195312506</v>
      </c>
      <c r="J18" s="11">
        <v>13.541599990844727</v>
      </c>
      <c r="K18" s="11">
        <v>18.097600013732912</v>
      </c>
      <c r="L18" s="11">
        <v>21.696800003051759</v>
      </c>
      <c r="M18" s="11">
        <v>83.592800109863276</v>
      </c>
      <c r="N18" s="11">
        <v>515.19280111312867</v>
      </c>
      <c r="O18" s="11">
        <f t="shared" si="22"/>
        <v>245.61760005187989</v>
      </c>
      <c r="P18" s="11">
        <f t="shared" si="12"/>
        <v>193.39200035095215</v>
      </c>
      <c r="Q18" s="56">
        <v>36281</v>
      </c>
      <c r="R18" s="8">
        <v>23.225999999999999</v>
      </c>
      <c r="S18" s="8">
        <v>0</v>
      </c>
      <c r="AI18">
        <f t="array" ref="AI18:AJ22">LINEST(AM6:AM16,AI6:AJ16,0,1)</f>
        <v>1.5864351765329998</v>
      </c>
      <c r="AJ18">
        <v>0.23112721308721576</v>
      </c>
      <c r="AL18">
        <f t="array" ref="AL18:AN22">LINEST(AQ2:AQ16,AI2:AK16,0,1)</f>
        <v>5.5810763830961383</v>
      </c>
      <c r="AM18">
        <v>0.40910222268971419</v>
      </c>
      <c r="AN18">
        <v>0.45687034532660287</v>
      </c>
      <c r="AP18">
        <f t="array" ref="AP18:AQ22">LINEST(AQ2:AQ16,AI2:AJ16,0,1)</f>
        <v>1.1834793738991332</v>
      </c>
      <c r="AQ18">
        <v>0.39647611117898995</v>
      </c>
      <c r="BA18" s="56">
        <v>36281</v>
      </c>
      <c r="BB18" s="65">
        <v>0</v>
      </c>
      <c r="BC18" s="65">
        <v>0</v>
      </c>
      <c r="BD18" s="65"/>
      <c r="BE18" s="65"/>
      <c r="BG18" s="38">
        <v>2015</v>
      </c>
      <c r="BH18" s="11">
        <v>62.460236421720246</v>
      </c>
      <c r="BI18" s="11">
        <v>22.41968501834419</v>
      </c>
      <c r="BJ18" s="11">
        <v>33.891732290973813</v>
      </c>
      <c r="BK18" s="11">
        <v>82.862992429357817</v>
      </c>
      <c r="BL18" s="11">
        <v>43.721259815486398</v>
      </c>
      <c r="BM18" s="11">
        <v>57.787795329657129</v>
      </c>
      <c r="BN18" s="11">
        <v>34.888189007916786</v>
      </c>
      <c r="BO18" s="11">
        <v>30.085826753631352</v>
      </c>
      <c r="BP18" s="11">
        <v>18.768503891201469</v>
      </c>
      <c r="BQ18" s="11">
        <v>35.63582681670902</v>
      </c>
      <c r="BR18" s="11">
        <v>53.926771509365771</v>
      </c>
      <c r="BS18" s="11">
        <v>58.451968470896325</v>
      </c>
      <c r="BT18" s="11">
        <v>534.90078775526035</v>
      </c>
    </row>
    <row r="19" spans="1:78" x14ac:dyDescent="0.25">
      <c r="A19" s="38">
        <v>2015</v>
      </c>
      <c r="B19" s="11">
        <v>78.343200073242187</v>
      </c>
      <c r="C19" s="11">
        <v>21.955199920654298</v>
      </c>
      <c r="D19" s="11">
        <v>40.029599945068362</v>
      </c>
      <c r="E19" s="11">
        <v>101.36160009765625</v>
      </c>
      <c r="F19" s="11">
        <v>33.991200042724607</v>
      </c>
      <c r="G19" s="11">
        <v>64.945599731445313</v>
      </c>
      <c r="H19" s="11">
        <v>28.66079995727539</v>
      </c>
      <c r="I19" s="11">
        <v>46.758399917602539</v>
      </c>
      <c r="J19" s="11">
        <v>15.90640000152588</v>
      </c>
      <c r="K19" s="11">
        <v>27.805600036621094</v>
      </c>
      <c r="L19" s="11">
        <v>92.912000000000006</v>
      </c>
      <c r="M19" s="11">
        <v>52.021600036621095</v>
      </c>
      <c r="N19" s="11">
        <v>604.69119976043703</v>
      </c>
      <c r="P19" s="11">
        <f t="shared" si="12"/>
        <v>218.0679996871948</v>
      </c>
      <c r="Q19" s="56">
        <v>36312</v>
      </c>
      <c r="R19" s="8">
        <v>107.91</v>
      </c>
      <c r="S19" s="8">
        <v>0</v>
      </c>
      <c r="AI19">
        <v>0.55225046229859776</v>
      </c>
      <c r="AJ19">
        <v>9.5703210162093044E-2</v>
      </c>
      <c r="AL19">
        <v>2.553059781569901</v>
      </c>
      <c r="AM19">
        <v>0.73783807709272087</v>
      </c>
      <c r="AN19">
        <v>8.8988789271423924E-2</v>
      </c>
      <c r="AP19">
        <v>0.73531554225356432</v>
      </c>
      <c r="AQ19">
        <v>9.6102625548154352E-2</v>
      </c>
      <c r="AS19" t="s">
        <v>545</v>
      </c>
      <c r="BA19" s="56">
        <v>36312</v>
      </c>
      <c r="BB19" s="65">
        <v>0</v>
      </c>
      <c r="BC19" s="65">
        <v>0</v>
      </c>
      <c r="BD19" s="65"/>
      <c r="BE19" s="65"/>
      <c r="BU19" s="11">
        <f>AVERAGE(BU2:BU17)</f>
        <v>353.7781497150894</v>
      </c>
    </row>
    <row r="20" spans="1:78" ht="15.75" thickBot="1" x14ac:dyDescent="0.3">
      <c r="Q20" s="56">
        <v>36342</v>
      </c>
      <c r="R20" s="8">
        <v>304.56</v>
      </c>
      <c r="S20" s="8">
        <v>0</v>
      </c>
      <c r="AI20">
        <v>0.8065307520551156</v>
      </c>
      <c r="AJ20">
        <v>569.74370371083705</v>
      </c>
      <c r="AL20">
        <v>0.82924793058576951</v>
      </c>
      <c r="AM20">
        <v>721.30089265381946</v>
      </c>
      <c r="AN20" t="e">
        <v>#N/A</v>
      </c>
      <c r="AP20">
        <v>0.76124953056859479</v>
      </c>
      <c r="AQ20">
        <v>819.45393627010719</v>
      </c>
      <c r="AS20">
        <f>1-(((1-AP20)*(14))/(12))</f>
        <v>0.72145778566336061</v>
      </c>
      <c r="BA20" s="56">
        <v>36342</v>
      </c>
      <c r="BB20" s="65">
        <v>30.539000000000001</v>
      </c>
      <c r="BC20" s="65">
        <v>0</v>
      </c>
      <c r="BD20" s="65"/>
      <c r="BE20" s="65"/>
      <c r="BG20" t="s">
        <v>351</v>
      </c>
    </row>
    <row r="21" spans="1:78" x14ac:dyDescent="0.25">
      <c r="L21" t="s">
        <v>391</v>
      </c>
      <c r="O21" s="11">
        <f>AVERAGE(O3:O18)</f>
        <v>372.44375007545949</v>
      </c>
      <c r="P21" s="11">
        <f>AVERAGE(P3:P19)</f>
        <v>241.4007529611587</v>
      </c>
      <c r="Q21" s="56">
        <v>36373</v>
      </c>
      <c r="R21" s="8">
        <v>417.5</v>
      </c>
      <c r="S21" s="8">
        <v>0</v>
      </c>
      <c r="AI21">
        <v>18.759510479318983</v>
      </c>
      <c r="AJ21">
        <v>9</v>
      </c>
      <c r="AL21">
        <v>19.425777583382182</v>
      </c>
      <c r="AM21">
        <v>12</v>
      </c>
      <c r="AN21" t="e">
        <v>#N/A</v>
      </c>
      <c r="AP21">
        <v>20.725077359973518</v>
      </c>
      <c r="AQ21">
        <v>13</v>
      </c>
      <c r="AS21">
        <v>4.67</v>
      </c>
      <c r="AT21" t="s">
        <v>602</v>
      </c>
      <c r="BA21" s="56">
        <v>36373</v>
      </c>
      <c r="BB21" s="65">
        <v>78.712999999999994</v>
      </c>
      <c r="BC21" s="65">
        <v>0</v>
      </c>
      <c r="BD21" s="65"/>
      <c r="BE21" s="65"/>
      <c r="BG21" t="s">
        <v>254</v>
      </c>
      <c r="BH21" s="63" t="s">
        <v>109</v>
      </c>
      <c r="BI21" s="63" t="s">
        <v>110</v>
      </c>
      <c r="BJ21" s="63" t="s">
        <v>111</v>
      </c>
      <c r="BK21" s="63" t="s">
        <v>112</v>
      </c>
      <c r="BL21" s="63" t="s">
        <v>113</v>
      </c>
      <c r="BM21" s="63" t="s">
        <v>114</v>
      </c>
      <c r="BN21" s="63" t="s">
        <v>115</v>
      </c>
      <c r="BO21" s="63" t="s">
        <v>116</v>
      </c>
      <c r="BP21" s="63" t="s">
        <v>117</v>
      </c>
      <c r="BQ21" s="63" t="s">
        <v>338</v>
      </c>
      <c r="BR21" s="63" t="s">
        <v>124</v>
      </c>
      <c r="BS21" s="64" t="s">
        <v>339</v>
      </c>
    </row>
    <row r="22" spans="1:78" x14ac:dyDescent="0.25">
      <c r="A22" t="s">
        <v>389</v>
      </c>
      <c r="Q22" s="56">
        <v>36404</v>
      </c>
      <c r="R22" s="8">
        <v>693.51</v>
      </c>
      <c r="S22" s="8">
        <v>0</v>
      </c>
      <c r="AI22">
        <v>12178970.150139976</v>
      </c>
      <c r="AJ22">
        <v>2921470.9912632788</v>
      </c>
      <c r="AL22">
        <v>30320237.999515362</v>
      </c>
      <c r="AM22">
        <v>6243299.7329183612</v>
      </c>
      <c r="AN22" t="e">
        <v>#N/A</v>
      </c>
      <c r="AP22">
        <v>27833975.934742272</v>
      </c>
      <c r="AQ22">
        <v>8729561.7976914495</v>
      </c>
      <c r="BA22" s="56">
        <v>36404</v>
      </c>
      <c r="BB22" s="65">
        <v>155.33000000000001</v>
      </c>
      <c r="BC22" s="65">
        <v>0</v>
      </c>
      <c r="BD22" s="65"/>
      <c r="BE22" s="65"/>
      <c r="BG22" t="s">
        <v>343</v>
      </c>
      <c r="BH22" s="61">
        <v>104</v>
      </c>
      <c r="BI22" s="61">
        <v>100.69999999999999</v>
      </c>
      <c r="BJ22" s="61">
        <v>94.4</v>
      </c>
      <c r="BK22" s="61">
        <v>123.1</v>
      </c>
      <c r="BL22" s="61">
        <v>132.69999999999999</v>
      </c>
      <c r="BM22" s="61">
        <v>67.685100000000006</v>
      </c>
      <c r="BN22" s="61">
        <v>77.740800000000007</v>
      </c>
      <c r="BO22" s="61">
        <v>52.116599999999998</v>
      </c>
      <c r="BP22" s="61">
        <v>42.567699999999995</v>
      </c>
      <c r="BQ22" s="61">
        <v>90.12</v>
      </c>
      <c r="BR22" s="61">
        <v>113.64</v>
      </c>
      <c r="BS22" s="62">
        <v>102.37</v>
      </c>
    </row>
    <row r="23" spans="1:78" x14ac:dyDescent="0.25">
      <c r="B23" t="s">
        <v>109</v>
      </c>
      <c r="C23" t="s">
        <v>110</v>
      </c>
      <c r="D23" t="s">
        <v>111</v>
      </c>
      <c r="E23" t="s">
        <v>28</v>
      </c>
      <c r="F23" t="s">
        <v>29</v>
      </c>
      <c r="G23" t="s">
        <v>30</v>
      </c>
      <c r="H23" t="s">
        <v>31</v>
      </c>
      <c r="I23" t="s">
        <v>32</v>
      </c>
      <c r="J23" t="s">
        <v>33</v>
      </c>
      <c r="K23" t="s">
        <v>34</v>
      </c>
      <c r="L23" t="s">
        <v>35</v>
      </c>
      <c r="M23" t="s">
        <v>213</v>
      </c>
      <c r="Q23" s="56">
        <v>36434</v>
      </c>
      <c r="R23" s="8">
        <v>124.56</v>
      </c>
      <c r="S23" s="8">
        <v>216.89</v>
      </c>
      <c r="BA23" s="56">
        <v>36434</v>
      </c>
      <c r="BB23" s="65">
        <v>4.2965999999999998</v>
      </c>
      <c r="BC23" s="65">
        <v>0</v>
      </c>
      <c r="BD23" s="65"/>
      <c r="BE23" s="65"/>
      <c r="BG23" t="s">
        <v>66</v>
      </c>
      <c r="BH23" s="8">
        <f>BH22*1000</f>
        <v>104000</v>
      </c>
      <c r="BI23" s="8">
        <f t="shared" ref="BI23:BS23" si="29">BI22*1000</f>
        <v>100699.99999999999</v>
      </c>
      <c r="BJ23" s="8">
        <f t="shared" si="29"/>
        <v>94400</v>
      </c>
      <c r="BK23" s="8">
        <f t="shared" si="29"/>
        <v>123100</v>
      </c>
      <c r="BL23" s="8">
        <f t="shared" si="29"/>
        <v>132700</v>
      </c>
      <c r="BM23" s="8">
        <f t="shared" si="29"/>
        <v>67685.100000000006</v>
      </c>
      <c r="BN23" s="8">
        <f t="shared" si="29"/>
        <v>77740.800000000003</v>
      </c>
      <c r="BO23" s="8">
        <f t="shared" si="29"/>
        <v>52116.6</v>
      </c>
      <c r="BP23" s="8">
        <f t="shared" si="29"/>
        <v>42567.7</v>
      </c>
      <c r="BQ23" s="8">
        <f t="shared" si="29"/>
        <v>90120</v>
      </c>
      <c r="BR23" s="8">
        <f t="shared" si="29"/>
        <v>113640</v>
      </c>
      <c r="BS23" s="8">
        <f t="shared" si="29"/>
        <v>102370</v>
      </c>
    </row>
    <row r="24" spans="1:78" x14ac:dyDescent="0.25">
      <c r="A24" t="s">
        <v>186</v>
      </c>
      <c r="B24" s="8">
        <f>0.18*B29</f>
        <v>18720</v>
      </c>
      <c r="C24" s="8">
        <f t="shared" ref="C24:D24" si="30">0.18*C29</f>
        <v>18125.999999999996</v>
      </c>
      <c r="D24" s="8">
        <f t="shared" si="30"/>
        <v>16992</v>
      </c>
      <c r="E24" s="8">
        <v>22932.03</v>
      </c>
      <c r="F24" s="8">
        <v>18205.54</v>
      </c>
      <c r="G24" s="8">
        <v>15725.31</v>
      </c>
      <c r="H24" s="8">
        <v>14915.640000000001</v>
      </c>
      <c r="I24" s="8">
        <v>10333.9</v>
      </c>
      <c r="J24" s="8">
        <v>7789.7499999999991</v>
      </c>
      <c r="K24" s="8">
        <v>17572.259999999998</v>
      </c>
      <c r="L24" s="8">
        <v>20690.830000000002</v>
      </c>
      <c r="M24" s="8">
        <v>14983.470000000001</v>
      </c>
      <c r="Q24" s="56">
        <v>36465</v>
      </c>
      <c r="R24" s="8">
        <v>111.68</v>
      </c>
      <c r="S24" s="8">
        <v>6.3582000000000001</v>
      </c>
      <c r="T24" s="56">
        <f>Q24</f>
        <v>36465</v>
      </c>
      <c r="U24" s="8">
        <f>SUM(R20:R28)</f>
        <v>3729.605</v>
      </c>
      <c r="V24" s="8">
        <f>SUM(S12:S23)</f>
        <v>235.37699999999998</v>
      </c>
      <c r="AP24" s="15">
        <f>AP18/AP19</f>
        <v>1.6094850521886903</v>
      </c>
      <c r="AQ24" s="15">
        <f>AQ18/AQ19</f>
        <v>4.1255492128082061</v>
      </c>
      <c r="BA24" s="56">
        <v>36465</v>
      </c>
      <c r="BB24" s="65">
        <v>0</v>
      </c>
      <c r="BC24" s="65">
        <v>0</v>
      </c>
      <c r="BD24" s="65">
        <f>SUM(BB20:BB28)</f>
        <v>1431.6186</v>
      </c>
      <c r="BE24" s="65">
        <f>SUM(BC12:BC23)</f>
        <v>0</v>
      </c>
      <c r="BK24" s="11"/>
      <c r="BL24" s="11"/>
      <c r="BM24" s="11"/>
      <c r="BN24" s="11"/>
      <c r="BO24" s="11"/>
      <c r="BP24" s="11"/>
      <c r="BQ24" s="11"/>
      <c r="BR24" s="11"/>
      <c r="BS24" s="11"/>
    </row>
    <row r="25" spans="1:78" x14ac:dyDescent="0.25">
      <c r="E25" s="68">
        <f>E24/E29</f>
        <v>0.18628781478472786</v>
      </c>
      <c r="F25" s="68">
        <f t="shared" ref="F25:M25" si="31">F24/F29</f>
        <v>0.13719321778447627</v>
      </c>
      <c r="G25" s="68">
        <f t="shared" si="31"/>
        <v>0.23233045382218537</v>
      </c>
      <c r="H25" s="68">
        <f t="shared" si="31"/>
        <v>0.1918637317856261</v>
      </c>
      <c r="I25" s="68">
        <f t="shared" si="31"/>
        <v>0.19828423189540376</v>
      </c>
      <c r="J25" s="68">
        <f t="shared" si="31"/>
        <v>0.18299673226413454</v>
      </c>
      <c r="K25" s="68">
        <f t="shared" si="31"/>
        <v>0.19498735019973368</v>
      </c>
      <c r="L25" s="68">
        <f t="shared" si="31"/>
        <v>0.18207347764871526</v>
      </c>
      <c r="M25" s="68">
        <f t="shared" si="31"/>
        <v>0.1463658298329589</v>
      </c>
      <c r="Q25" s="56">
        <v>36495</v>
      </c>
      <c r="R25" s="8">
        <v>98.185000000000002</v>
      </c>
      <c r="S25" s="8">
        <v>0</v>
      </c>
      <c r="AP25" s="75">
        <v>0.9</v>
      </c>
      <c r="AQ25" s="76">
        <v>0.995</v>
      </c>
      <c r="BA25" s="56">
        <v>36495</v>
      </c>
      <c r="BB25" s="65">
        <v>45.887</v>
      </c>
      <c r="BC25" s="65">
        <v>0</v>
      </c>
      <c r="BD25" s="65"/>
      <c r="BE25" s="65"/>
      <c r="BH25" t="s">
        <v>25</v>
      </c>
      <c r="BI25" t="s">
        <v>26</v>
      </c>
      <c r="BJ25" t="s">
        <v>27</v>
      </c>
      <c r="BK25" t="s">
        <v>28</v>
      </c>
      <c r="BL25" t="s">
        <v>29</v>
      </c>
      <c r="BM25" t="s">
        <v>30</v>
      </c>
      <c r="BN25" t="s">
        <v>31</v>
      </c>
      <c r="BO25" t="s">
        <v>32</v>
      </c>
      <c r="BP25" t="s">
        <v>33</v>
      </c>
      <c r="BQ25" t="s">
        <v>34</v>
      </c>
      <c r="BR25" t="s">
        <v>35</v>
      </c>
      <c r="BS25" t="s">
        <v>213</v>
      </c>
    </row>
    <row r="26" spans="1:78" ht="15.75" thickBot="1" x14ac:dyDescent="0.3">
      <c r="A26" t="s">
        <v>351</v>
      </c>
      <c r="Q26" s="56">
        <v>36526</v>
      </c>
      <c r="R26" s="8">
        <v>532.98</v>
      </c>
      <c r="S26" s="8">
        <v>0</v>
      </c>
      <c r="BA26" s="56">
        <v>36526</v>
      </c>
      <c r="BB26" s="65">
        <v>565.66999999999996</v>
      </c>
      <c r="BC26" s="65">
        <v>0</v>
      </c>
      <c r="BD26" s="65"/>
      <c r="BE26" s="65"/>
      <c r="BH26" s="8">
        <f>0.59*BH23</f>
        <v>61360</v>
      </c>
      <c r="BI26" s="8">
        <f>0.59*BI23</f>
        <v>59412.999999999985</v>
      </c>
      <c r="BJ26" s="8">
        <f>BJ23*0.56</f>
        <v>52864.000000000007</v>
      </c>
      <c r="BK26" s="8">
        <v>77526.149999999994</v>
      </c>
      <c r="BL26" s="8">
        <v>43722.700000000004</v>
      </c>
      <c r="BM26" s="8">
        <v>38995.15</v>
      </c>
      <c r="BN26" s="8">
        <v>46153.2</v>
      </c>
      <c r="BO26" s="8">
        <v>29314.899999999998</v>
      </c>
      <c r="BP26" s="8">
        <v>25750.05</v>
      </c>
      <c r="BQ26" s="8">
        <v>50625.24</v>
      </c>
      <c r="BR26" s="8">
        <v>69332.59</v>
      </c>
      <c r="BS26" s="8">
        <v>60444.03</v>
      </c>
      <c r="BW26" t="s">
        <v>254</v>
      </c>
      <c r="BX26">
        <v>6.5</v>
      </c>
      <c r="BY26" t="s">
        <v>376</v>
      </c>
    </row>
    <row r="27" spans="1:78" x14ac:dyDescent="0.25">
      <c r="A27" t="s">
        <v>254</v>
      </c>
      <c r="B27" s="63" t="s">
        <v>109</v>
      </c>
      <c r="C27" s="63" t="s">
        <v>110</v>
      </c>
      <c r="D27" s="63" t="s">
        <v>111</v>
      </c>
      <c r="E27" s="63" t="s">
        <v>112</v>
      </c>
      <c r="F27" s="63" t="s">
        <v>113</v>
      </c>
      <c r="G27" s="63" t="s">
        <v>114</v>
      </c>
      <c r="H27" s="63" t="s">
        <v>115</v>
      </c>
      <c r="I27" s="63" t="s">
        <v>116</v>
      </c>
      <c r="J27" s="63" t="s">
        <v>117</v>
      </c>
      <c r="K27" s="63" t="s">
        <v>338</v>
      </c>
      <c r="L27" s="63" t="s">
        <v>124</v>
      </c>
      <c r="M27" s="64" t="s">
        <v>339</v>
      </c>
      <c r="Q27" s="56">
        <v>36557</v>
      </c>
      <c r="R27" s="8">
        <v>1118.5</v>
      </c>
      <c r="S27" s="8">
        <v>19.029</v>
      </c>
      <c r="BA27" s="56">
        <v>36557</v>
      </c>
      <c r="BB27" s="65">
        <v>491.42</v>
      </c>
      <c r="BC27" s="65">
        <v>19.922000000000001</v>
      </c>
      <c r="BD27" s="65"/>
      <c r="BE27" s="65"/>
      <c r="BK27" s="68">
        <f>BK26/BK23</f>
        <v>0.62978188464662876</v>
      </c>
      <c r="BL27" s="68">
        <f t="shared" ref="BL27:BS27" si="32">BL26/BL23</f>
        <v>0.3294853051996986</v>
      </c>
      <c r="BM27" s="68">
        <f t="shared" si="32"/>
        <v>0.57612606024073243</v>
      </c>
      <c r="BN27" s="68">
        <f t="shared" si="32"/>
        <v>0.59368053840454427</v>
      </c>
      <c r="BO27" s="68">
        <f t="shared" si="32"/>
        <v>0.5624868084257223</v>
      </c>
      <c r="BP27" s="68">
        <f t="shared" si="32"/>
        <v>0.60491992755070156</v>
      </c>
      <c r="BQ27" s="68">
        <f t="shared" si="32"/>
        <v>0.56175366178428754</v>
      </c>
      <c r="BR27" s="68">
        <f t="shared" si="32"/>
        <v>0.61010726856740582</v>
      </c>
      <c r="BS27" s="68">
        <f t="shared" si="32"/>
        <v>0.59044671290417117</v>
      </c>
    </row>
    <row r="28" spans="1:78" x14ac:dyDescent="0.25">
      <c r="A28" t="s">
        <v>343</v>
      </c>
      <c r="B28" s="61">
        <v>104</v>
      </c>
      <c r="C28" s="61">
        <v>100.69999999999999</v>
      </c>
      <c r="D28" s="61">
        <v>94.4</v>
      </c>
      <c r="E28" s="61">
        <v>123.1</v>
      </c>
      <c r="F28" s="61">
        <v>132.69999999999999</v>
      </c>
      <c r="G28" s="61">
        <v>67.685100000000006</v>
      </c>
      <c r="H28" s="61">
        <v>77.740800000000007</v>
      </c>
      <c r="I28" s="61">
        <v>52.116599999999998</v>
      </c>
      <c r="J28" s="61">
        <v>42.567699999999995</v>
      </c>
      <c r="K28" s="61">
        <v>90.12</v>
      </c>
      <c r="L28" s="61">
        <v>113.64</v>
      </c>
      <c r="M28" s="62">
        <v>102.37</v>
      </c>
      <c r="Q28" s="56">
        <v>36586</v>
      </c>
      <c r="R28" s="8">
        <v>328.13</v>
      </c>
      <c r="S28" s="8">
        <v>0</v>
      </c>
      <c r="BA28" s="56">
        <v>36586</v>
      </c>
      <c r="BB28" s="65">
        <v>59.762999999999998</v>
      </c>
      <c r="BC28" s="65">
        <v>0</v>
      </c>
      <c r="BD28" s="65"/>
      <c r="BE28" s="65"/>
      <c r="BG28" t="s">
        <v>43</v>
      </c>
      <c r="BH28" t="s">
        <v>254</v>
      </c>
      <c r="BI28" t="s">
        <v>402</v>
      </c>
      <c r="BJ28" t="s">
        <v>403</v>
      </c>
      <c r="BL28" s="8"/>
      <c r="BM28" s="8"/>
      <c r="BN28" s="8"/>
      <c r="BO28" s="8"/>
      <c r="BP28" s="8"/>
      <c r="BQ28" s="8"/>
      <c r="BR28" s="8"/>
      <c r="BS28" s="8"/>
      <c r="BT28" s="8" t="str">
        <f>BG28</f>
        <v>Plant in</v>
      </c>
      <c r="BU28" s="8" t="str">
        <f t="shared" ref="BU28:BW28" si="33">BH28</f>
        <v>GW use</v>
      </c>
      <c r="BV28" s="8" t="str">
        <f t="shared" si="33"/>
        <v>total Ha</v>
      </c>
      <c r="BW28" s="8" t="str">
        <f t="shared" si="33"/>
        <v>alloc % GS</v>
      </c>
      <c r="BX28" t="s">
        <v>174</v>
      </c>
      <c r="BY28" t="s">
        <v>409</v>
      </c>
      <c r="BZ28" t="s">
        <v>349</v>
      </c>
    </row>
    <row r="29" spans="1:78" x14ac:dyDescent="0.25">
      <c r="A29" t="s">
        <v>66</v>
      </c>
      <c r="B29" s="8">
        <f>B28*1000</f>
        <v>104000</v>
      </c>
      <c r="C29" s="8">
        <f t="shared" ref="C29" si="34">C28*1000</f>
        <v>100699.99999999999</v>
      </c>
      <c r="D29" s="8">
        <f t="shared" ref="D29" si="35">D28*1000</f>
        <v>94400</v>
      </c>
      <c r="E29" s="8">
        <f t="shared" ref="E29" si="36">E28*1000</f>
        <v>123100</v>
      </c>
      <c r="F29" s="8">
        <f t="shared" ref="F29" si="37">F28*1000</f>
        <v>132700</v>
      </c>
      <c r="G29" s="8">
        <f t="shared" ref="G29" si="38">G28*1000</f>
        <v>67685.100000000006</v>
      </c>
      <c r="H29" s="8">
        <f t="shared" ref="H29" si="39">H28*1000</f>
        <v>77740.800000000003</v>
      </c>
      <c r="I29" s="8">
        <f t="shared" ref="I29" si="40">I28*1000</f>
        <v>52116.6</v>
      </c>
      <c r="J29" s="8">
        <f t="shared" ref="J29" si="41">J28*1000</f>
        <v>42567.7</v>
      </c>
      <c r="K29" s="8">
        <f t="shared" ref="K29" si="42">K28*1000</f>
        <v>90120</v>
      </c>
      <c r="L29" s="8">
        <f t="shared" ref="L29" si="43">L28*1000</f>
        <v>113640</v>
      </c>
      <c r="M29" s="8">
        <f t="shared" ref="M29" si="44">M28*1000</f>
        <v>102370</v>
      </c>
      <c r="Q29" s="56">
        <v>36617</v>
      </c>
      <c r="R29" s="8">
        <v>89.881</v>
      </c>
      <c r="S29" s="8">
        <v>0</v>
      </c>
      <c r="BA29" s="56">
        <v>36617</v>
      </c>
      <c r="BB29" s="65">
        <v>3.7715000000000001</v>
      </c>
      <c r="BC29" s="65">
        <v>0</v>
      </c>
      <c r="BD29" s="65"/>
      <c r="BE29" s="65"/>
      <c r="BG29">
        <v>2006</v>
      </c>
      <c r="BH29" s="8">
        <f t="array" ref="BH29:BH36">TRANSPOSE(BK26:BR26)</f>
        <v>77526.149999999994</v>
      </c>
      <c r="BI29" s="8">
        <f>BW9</f>
        <v>6920.98</v>
      </c>
      <c r="BJ29">
        <v>2</v>
      </c>
      <c r="BL29" t="s">
        <v>404</v>
      </c>
      <c r="BT29" s="8">
        <f t="shared" ref="BT29:BT36" si="45">BG29</f>
        <v>2006</v>
      </c>
      <c r="BU29" s="8">
        <f t="shared" ref="BU29:BU36" si="46">BH29</f>
        <v>77526.149999999994</v>
      </c>
      <c r="BV29" s="8">
        <f t="shared" ref="BV29:BV36" si="47">BI29</f>
        <v>6920.98</v>
      </c>
      <c r="BW29" s="8">
        <f t="shared" ref="BW29:BW36" si="48">BJ29</f>
        <v>2</v>
      </c>
      <c r="BX29" s="11">
        <f>BU9</f>
        <v>280.47677159497118</v>
      </c>
      <c r="BY29" s="17">
        <f>($BU$19-BX29)/100</f>
        <v>0.7330137812011821</v>
      </c>
      <c r="BZ29" s="8">
        <f>BU29/($BX$26+BY29)</f>
        <v>10718.374434940628</v>
      </c>
    </row>
    <row r="30" spans="1:78" x14ac:dyDescent="0.25">
      <c r="Q30" s="56">
        <v>36647</v>
      </c>
      <c r="R30" s="8">
        <v>37.93</v>
      </c>
      <c r="S30" s="8">
        <v>0</v>
      </c>
      <c r="BA30" s="56">
        <v>36647</v>
      </c>
      <c r="BB30" s="65">
        <v>6.3463000000000003</v>
      </c>
      <c r="BC30" s="65">
        <v>0</v>
      </c>
      <c r="BD30" s="65"/>
      <c r="BE30" s="65"/>
      <c r="BG30">
        <v>2007</v>
      </c>
      <c r="BH30" s="8">
        <v>43722.700000000004</v>
      </c>
      <c r="BI30" s="8">
        <f t="shared" ref="BI30:BI36" si="49">BW10</f>
        <v>5879.3200000000006</v>
      </c>
      <c r="BJ30">
        <v>5</v>
      </c>
      <c r="BL30" t="s">
        <v>405</v>
      </c>
      <c r="BM30" t="s">
        <v>406</v>
      </c>
      <c r="BT30" s="8">
        <f t="shared" si="45"/>
        <v>2007</v>
      </c>
      <c r="BU30" s="8">
        <f t="shared" si="46"/>
        <v>43722.700000000004</v>
      </c>
      <c r="BV30" s="8">
        <f t="shared" si="47"/>
        <v>5879.3200000000006</v>
      </c>
      <c r="BW30" s="8">
        <f t="shared" si="48"/>
        <v>5</v>
      </c>
      <c r="BX30" s="11">
        <f t="shared" ref="BX30:BX36" si="50">BU10</f>
        <v>400.28346456692913</v>
      </c>
      <c r="BY30" s="17">
        <f t="shared" ref="BY30:BY40" si="51">($BU$19-BX30)/100</f>
        <v>-0.4650531485183973</v>
      </c>
      <c r="BZ30" s="8">
        <f t="shared" ref="BZ30:BZ40" si="52">BU30/($BX$26+BY30)</f>
        <v>7244.9188163547633</v>
      </c>
    </row>
    <row r="31" spans="1:78" x14ac:dyDescent="0.25">
      <c r="B31" t="s">
        <v>254</v>
      </c>
      <c r="C31" t="s">
        <v>70</v>
      </c>
      <c r="D31" t="s">
        <v>174</v>
      </c>
      <c r="E31" t="s">
        <v>392</v>
      </c>
      <c r="F31" t="s">
        <v>393</v>
      </c>
      <c r="H31" t="s">
        <v>254</v>
      </c>
      <c r="I31">
        <v>12</v>
      </c>
      <c r="J31" t="s">
        <v>376</v>
      </c>
      <c r="Q31" s="56">
        <v>36678</v>
      </c>
      <c r="R31" s="8">
        <v>187.13</v>
      </c>
      <c r="S31" s="8">
        <v>0</v>
      </c>
      <c r="BA31" s="56">
        <v>36678</v>
      </c>
      <c r="BB31" s="65">
        <v>56.165999999999997</v>
      </c>
      <c r="BC31" s="65">
        <v>0</v>
      </c>
      <c r="BD31" s="65"/>
      <c r="BE31" s="65"/>
      <c r="BG31">
        <v>2008</v>
      </c>
      <c r="BH31" s="8">
        <v>38995.15</v>
      </c>
      <c r="BI31" s="8">
        <f t="shared" si="49"/>
        <v>5581.7599999999993</v>
      </c>
      <c r="BJ31">
        <v>22</v>
      </c>
      <c r="BL31">
        <v>5</v>
      </c>
      <c r="BM31">
        <v>6000</v>
      </c>
      <c r="BO31">
        <f t="array" ref="BO31:BP35">LINEST(BM31:BM32,BL31:BL32,1,1)</f>
        <v>-21.05263157894737</v>
      </c>
      <c r="BP31">
        <v>6105.2631578947367</v>
      </c>
      <c r="BT31" s="8">
        <f t="shared" si="45"/>
        <v>2008</v>
      </c>
      <c r="BU31" s="8">
        <f t="shared" si="46"/>
        <v>38995.15</v>
      </c>
      <c r="BV31" s="8">
        <f t="shared" si="47"/>
        <v>5581.7599999999993</v>
      </c>
      <c r="BW31" s="8">
        <f t="shared" si="48"/>
        <v>22</v>
      </c>
      <c r="BX31" s="11">
        <f t="shared" si="50"/>
        <v>386.80472447928486</v>
      </c>
      <c r="BY31" s="17">
        <f t="shared" si="51"/>
        <v>-0.3302657476419546</v>
      </c>
      <c r="BZ31" s="8">
        <f t="shared" si="52"/>
        <v>6320.3937811577907</v>
      </c>
    </row>
    <row r="32" spans="1:78" x14ac:dyDescent="0.25">
      <c r="A32" t="str">
        <f t="array" ref="A32:B43">TRANSPOSE(B23:L24)</f>
        <v>2003-04</v>
      </c>
      <c r="B32" s="8">
        <v>18720</v>
      </c>
      <c r="C32" s="8">
        <v>2013.8999999999996</v>
      </c>
      <c r="D32" s="11">
        <f>O7-$O$21</f>
        <v>50.003449417948673</v>
      </c>
      <c r="E32" s="8">
        <f t="shared" ref="E32:E42" si="53">B32/($I$31-(D32/100))</f>
        <v>1627.830969625534</v>
      </c>
      <c r="F32" s="8">
        <f>C32-E32</f>
        <v>386.06903037446568</v>
      </c>
      <c r="Q32" s="56">
        <v>36708</v>
      </c>
      <c r="R32" s="8">
        <v>880.69</v>
      </c>
      <c r="S32" s="8">
        <v>0</v>
      </c>
      <c r="BA32" s="56">
        <v>36708</v>
      </c>
      <c r="BB32" s="65">
        <v>81.045000000000002</v>
      </c>
      <c r="BC32" s="65">
        <v>0</v>
      </c>
      <c r="BD32" s="65"/>
      <c r="BE32" s="65"/>
      <c r="BG32">
        <v>2009</v>
      </c>
      <c r="BH32" s="8">
        <v>46153.2</v>
      </c>
      <c r="BI32" s="8">
        <f t="shared" si="49"/>
        <v>7147.7799999999988</v>
      </c>
      <c r="BJ32">
        <v>23</v>
      </c>
      <c r="BL32">
        <v>100</v>
      </c>
      <c r="BM32">
        <v>4000</v>
      </c>
      <c r="BO32">
        <v>0</v>
      </c>
      <c r="BP32">
        <v>0</v>
      </c>
      <c r="BT32" s="8">
        <f t="shared" si="45"/>
        <v>2009</v>
      </c>
      <c r="BU32" s="8">
        <f t="shared" si="46"/>
        <v>46153.2</v>
      </c>
      <c r="BV32" s="8">
        <f t="shared" si="47"/>
        <v>7147.7799999999988</v>
      </c>
      <c r="BW32" s="8">
        <f t="shared" si="48"/>
        <v>23</v>
      </c>
      <c r="BX32" s="11">
        <f t="shared" si="50"/>
        <v>422.33425204397184</v>
      </c>
      <c r="BY32" s="17">
        <f t="shared" si="51"/>
        <v>-0.68556102328882451</v>
      </c>
      <c r="BZ32" s="8">
        <f t="shared" si="52"/>
        <v>7937.6875713821082</v>
      </c>
    </row>
    <row r="33" spans="1:81" x14ac:dyDescent="0.25">
      <c r="A33" t="str">
        <v>2004-05</v>
      </c>
      <c r="B33" s="8">
        <v>18125.999999999996</v>
      </c>
      <c r="C33" s="8">
        <v>2355.2399999999998</v>
      </c>
      <c r="D33" s="11">
        <f t="shared" ref="D33:D42" si="54">O8-$O$21</f>
        <v>67.476249924540468</v>
      </c>
      <c r="E33" s="8">
        <f t="shared" si="53"/>
        <v>1600.4962367272449</v>
      </c>
      <c r="F33" s="8">
        <f t="shared" ref="F33:F42" si="55">C33-E33</f>
        <v>754.7437632727549</v>
      </c>
      <c r="Q33" s="56">
        <v>36739</v>
      </c>
      <c r="R33" s="8">
        <v>302.63</v>
      </c>
      <c r="S33" s="8">
        <v>0</v>
      </c>
      <c r="BA33" s="56">
        <v>36739</v>
      </c>
      <c r="BB33" s="65">
        <v>52.921999999999997</v>
      </c>
      <c r="BC33" s="65">
        <v>0</v>
      </c>
      <c r="BD33" s="65"/>
      <c r="BE33" s="65"/>
      <c r="BG33">
        <v>2010</v>
      </c>
      <c r="BH33" s="8">
        <v>29314.899999999998</v>
      </c>
      <c r="BI33" s="8">
        <f t="shared" si="49"/>
        <v>11973.600000000002</v>
      </c>
      <c r="BJ33">
        <v>101</v>
      </c>
      <c r="BO33">
        <v>1</v>
      </c>
      <c r="BP33">
        <v>0</v>
      </c>
      <c r="BT33" s="8">
        <f t="shared" si="45"/>
        <v>2010</v>
      </c>
      <c r="BU33" s="8">
        <f t="shared" si="46"/>
        <v>29314.899999999998</v>
      </c>
      <c r="BV33" s="8">
        <f t="shared" si="47"/>
        <v>11973.600000000002</v>
      </c>
      <c r="BW33" s="8">
        <f t="shared" si="48"/>
        <v>101</v>
      </c>
      <c r="BX33" s="11">
        <f t="shared" si="50"/>
        <v>411.71929208124715</v>
      </c>
      <c r="BY33" s="17">
        <f t="shared" si="51"/>
        <v>-0.5794114236615775</v>
      </c>
      <c r="BZ33" s="8">
        <f t="shared" si="52"/>
        <v>4951.348944791861</v>
      </c>
    </row>
    <row r="34" spans="1:81" x14ac:dyDescent="0.25">
      <c r="A34" t="str">
        <v>2005-06</v>
      </c>
      <c r="B34" s="8">
        <v>16992</v>
      </c>
      <c r="C34" s="8">
        <v>2288.9500000000003</v>
      </c>
      <c r="D34" s="11">
        <f t="shared" si="54"/>
        <v>-2.4525497275590737</v>
      </c>
      <c r="E34" s="8">
        <f t="shared" si="53"/>
        <v>1413.111894007784</v>
      </c>
      <c r="F34" s="8">
        <f t="shared" si="55"/>
        <v>875.83810599221624</v>
      </c>
      <c r="Q34" s="56">
        <v>36770</v>
      </c>
      <c r="R34" s="8">
        <v>783.11</v>
      </c>
      <c r="S34" s="8">
        <v>0</v>
      </c>
      <c r="BA34" s="56">
        <v>36770</v>
      </c>
      <c r="BB34" s="65">
        <v>382.99</v>
      </c>
      <c r="BC34" s="65">
        <v>0</v>
      </c>
      <c r="BD34" s="65"/>
      <c r="BE34" s="65"/>
      <c r="BG34">
        <v>2011</v>
      </c>
      <c r="BH34" s="8">
        <v>25750.05</v>
      </c>
      <c r="BI34" s="8">
        <f t="shared" si="49"/>
        <v>12720.259999999998</v>
      </c>
      <c r="BJ34">
        <v>100</v>
      </c>
      <c r="BO34" t="e">
        <v>#NUM!</v>
      </c>
      <c r="BP34">
        <v>0</v>
      </c>
      <c r="BT34" s="8">
        <f t="shared" si="45"/>
        <v>2011</v>
      </c>
      <c r="BU34" s="8">
        <f t="shared" si="46"/>
        <v>25750.05</v>
      </c>
      <c r="BV34" s="8">
        <f t="shared" si="47"/>
        <v>12720.259999999998</v>
      </c>
      <c r="BW34" s="8">
        <f t="shared" si="48"/>
        <v>100</v>
      </c>
      <c r="BX34" s="11">
        <f t="shared" si="50"/>
        <v>532.19212591366511</v>
      </c>
      <c r="BY34" s="17">
        <f t="shared" si="51"/>
        <v>-1.7841397619857571</v>
      </c>
      <c r="BZ34" s="8">
        <f t="shared" si="52"/>
        <v>5460.3081305146661</v>
      </c>
    </row>
    <row r="35" spans="1:81" x14ac:dyDescent="0.25">
      <c r="A35" t="str">
        <v>2006/07</v>
      </c>
      <c r="B35" s="8">
        <v>22932.03</v>
      </c>
      <c r="C35" s="8">
        <v>1713.53</v>
      </c>
      <c r="D35" s="11">
        <f t="shared" si="54"/>
        <v>-120.97255029213431</v>
      </c>
      <c r="E35" s="8">
        <f t="shared" si="53"/>
        <v>1735.9959519922318</v>
      </c>
      <c r="F35" s="8">
        <f t="shared" si="55"/>
        <v>-22.465951992231794</v>
      </c>
      <c r="Q35" s="56">
        <v>36800</v>
      </c>
      <c r="R35" s="8">
        <v>315.58</v>
      </c>
      <c r="S35" s="8">
        <v>0</v>
      </c>
      <c r="BA35" s="56">
        <v>36800</v>
      </c>
      <c r="BB35" s="65">
        <v>75.55</v>
      </c>
      <c r="BC35" s="65">
        <v>0</v>
      </c>
      <c r="BD35" s="65"/>
      <c r="BE35" s="65"/>
      <c r="BG35">
        <v>2012</v>
      </c>
      <c r="BH35" s="8">
        <v>50625.24</v>
      </c>
      <c r="BI35" s="8">
        <f t="shared" si="49"/>
        <v>9526.9300000000021</v>
      </c>
      <c r="BJ35">
        <v>196</v>
      </c>
      <c r="BO35">
        <v>2000000</v>
      </c>
      <c r="BP35">
        <v>0</v>
      </c>
      <c r="BT35" s="8">
        <f t="shared" si="45"/>
        <v>2012</v>
      </c>
      <c r="BU35" s="8">
        <f t="shared" si="46"/>
        <v>50625.24</v>
      </c>
      <c r="BV35" s="8">
        <f t="shared" si="47"/>
        <v>9526.9300000000021</v>
      </c>
      <c r="BW35" s="8">
        <f t="shared" si="48"/>
        <v>196</v>
      </c>
      <c r="BX35" s="11">
        <f t="shared" si="50"/>
        <v>369.43818958162319</v>
      </c>
      <c r="BY35" s="17">
        <f t="shared" si="51"/>
        <v>-0.15660039866533793</v>
      </c>
      <c r="BZ35" s="8">
        <f t="shared" si="52"/>
        <v>7980.7742191345415</v>
      </c>
    </row>
    <row r="36" spans="1:81" x14ac:dyDescent="0.25">
      <c r="A36" t="str">
        <v>2007/08</v>
      </c>
      <c r="B36" s="8">
        <v>18205.54</v>
      </c>
      <c r="C36" s="8">
        <v>1293.01</v>
      </c>
      <c r="D36" s="11">
        <f t="shared" si="54"/>
        <v>33.164249924540513</v>
      </c>
      <c r="E36" s="8">
        <f t="shared" si="53"/>
        <v>1560.2487324220779</v>
      </c>
      <c r="F36" s="8">
        <f t="shared" si="55"/>
        <v>-267.23873242207787</v>
      </c>
      <c r="Q36" s="56">
        <v>36831</v>
      </c>
      <c r="R36" s="8">
        <v>125.92</v>
      </c>
      <c r="S36" s="8">
        <v>145.53</v>
      </c>
      <c r="T36" s="56">
        <f>Q36</f>
        <v>36831</v>
      </c>
      <c r="U36" s="8">
        <f>SUM(R32:R40)</f>
        <v>3584.9100000000003</v>
      </c>
      <c r="V36" s="8">
        <f>SUM(S24:S35)</f>
        <v>25.3872</v>
      </c>
      <c r="BA36" s="56">
        <v>36831</v>
      </c>
      <c r="BB36" s="65">
        <v>0</v>
      </c>
      <c r="BC36" s="65">
        <v>0</v>
      </c>
      <c r="BD36" s="65">
        <f>SUM(BB32:BB40)</f>
        <v>1708.7340000000002</v>
      </c>
      <c r="BE36" s="65">
        <f>SUM(BC24:BC35)</f>
        <v>19.922000000000001</v>
      </c>
      <c r="BG36">
        <v>2013</v>
      </c>
      <c r="BH36" s="8">
        <v>69332.59</v>
      </c>
      <c r="BI36" s="8">
        <f t="shared" si="49"/>
        <v>10080.580000000004</v>
      </c>
      <c r="BJ36">
        <v>83</v>
      </c>
      <c r="BT36" s="8">
        <f t="shared" si="45"/>
        <v>2013</v>
      </c>
      <c r="BU36" s="8">
        <f t="shared" si="46"/>
        <v>69332.59</v>
      </c>
      <c r="BV36" s="8">
        <f t="shared" si="47"/>
        <v>10080.580000000004</v>
      </c>
      <c r="BW36" s="8">
        <f t="shared" si="48"/>
        <v>83</v>
      </c>
      <c r="BX36" s="11">
        <f t="shared" si="50"/>
        <v>266.86614162903129</v>
      </c>
      <c r="BY36" s="17">
        <f t="shared" si="51"/>
        <v>0.86912008086058112</v>
      </c>
      <c r="BZ36" s="8">
        <f t="shared" si="52"/>
        <v>9408.5303590144777</v>
      </c>
    </row>
    <row r="37" spans="1:81" x14ac:dyDescent="0.25">
      <c r="A37" t="str">
        <v>2008/09</v>
      </c>
      <c r="B37" s="8">
        <v>15725.31</v>
      </c>
      <c r="C37" s="8">
        <v>1714.18</v>
      </c>
      <c r="D37" s="11">
        <f t="shared" si="54"/>
        <v>-3.3637496157884357</v>
      </c>
      <c r="E37" s="8">
        <f t="shared" si="53"/>
        <v>1306.779434316581</v>
      </c>
      <c r="F37" s="8">
        <f t="shared" si="55"/>
        <v>407.40056568341902</v>
      </c>
      <c r="Q37" s="56">
        <v>36861</v>
      </c>
      <c r="R37" s="8">
        <v>105.13</v>
      </c>
      <c r="S37" s="8">
        <v>53.305999999999997</v>
      </c>
      <c r="BA37" s="56">
        <v>36861</v>
      </c>
      <c r="BB37" s="65">
        <v>111.31</v>
      </c>
      <c r="BC37" s="65">
        <v>0</v>
      </c>
      <c r="BD37" s="65"/>
      <c r="BE37" s="65"/>
      <c r="BT37" s="8" t="s">
        <v>43</v>
      </c>
      <c r="BU37" s="8" t="s">
        <v>254</v>
      </c>
      <c r="BV37" s="8" t="s">
        <v>402</v>
      </c>
      <c r="BW37" s="8" t="s">
        <v>403</v>
      </c>
      <c r="BX37" t="s">
        <v>174</v>
      </c>
      <c r="BY37" t="s">
        <v>409</v>
      </c>
      <c r="BZ37" t="s">
        <v>349</v>
      </c>
      <c r="CA37" s="8" t="s">
        <v>43</v>
      </c>
      <c r="CB37" t="s">
        <v>288</v>
      </c>
      <c r="CC37" t="s">
        <v>349</v>
      </c>
    </row>
    <row r="38" spans="1:81" x14ac:dyDescent="0.25">
      <c r="A38" t="str">
        <v>2009/10</v>
      </c>
      <c r="B38" s="8">
        <v>14915.640000000001</v>
      </c>
      <c r="C38" s="8">
        <v>2453.6199999999994</v>
      </c>
      <c r="D38" s="11">
        <f t="shared" si="54"/>
        <v>68.101850067973146</v>
      </c>
      <c r="E38" s="8">
        <f t="shared" si="53"/>
        <v>1317.7546054736215</v>
      </c>
      <c r="F38" s="8">
        <f t="shared" si="55"/>
        <v>1135.8653945263779</v>
      </c>
      <c r="Q38" s="56">
        <v>36892</v>
      </c>
      <c r="R38" s="8">
        <v>506.92</v>
      </c>
      <c r="S38" s="8">
        <v>0</v>
      </c>
      <c r="BA38" s="56">
        <v>36892</v>
      </c>
      <c r="BB38" s="65">
        <v>650.97</v>
      </c>
      <c r="BC38" s="65">
        <v>0</v>
      </c>
      <c r="BD38" s="65"/>
      <c r="BE38" s="65"/>
      <c r="BT38">
        <v>2003</v>
      </c>
      <c r="BU38" s="8">
        <f>0.6*BH23</f>
        <v>62400</v>
      </c>
      <c r="BV38" s="8">
        <f>BW6</f>
        <v>6427.4000000000005</v>
      </c>
      <c r="BW38">
        <v>2</v>
      </c>
      <c r="BX38" s="11">
        <f>BU6</f>
        <v>397.8059057926568</v>
      </c>
      <c r="BY38" s="17">
        <f t="shared" si="51"/>
        <v>-0.44027756077567404</v>
      </c>
      <c r="BZ38" s="8">
        <f t="shared" si="52"/>
        <v>10297.5013502413</v>
      </c>
      <c r="CA38">
        <v>2003</v>
      </c>
      <c r="CB38" s="8">
        <f>BV38</f>
        <v>6427.4000000000005</v>
      </c>
      <c r="CC38" s="8">
        <f>BZ38</f>
        <v>10297.5013502413</v>
      </c>
    </row>
    <row r="39" spans="1:81" x14ac:dyDescent="0.25">
      <c r="A39" t="str">
        <v>2010/11</v>
      </c>
      <c r="B39" s="8">
        <v>10333.9</v>
      </c>
      <c r="C39" s="8">
        <v>3442.5899999999997</v>
      </c>
      <c r="D39" s="11">
        <f t="shared" si="54"/>
        <v>18.749850022196767</v>
      </c>
      <c r="E39" s="8">
        <f t="shared" si="53"/>
        <v>874.82740215475815</v>
      </c>
      <c r="F39" s="8">
        <f t="shared" si="55"/>
        <v>2567.7625978452415</v>
      </c>
      <c r="Q39" s="56">
        <v>36923</v>
      </c>
      <c r="R39" s="8">
        <v>358.25</v>
      </c>
      <c r="S39" s="8">
        <v>0</v>
      </c>
      <c r="BA39" s="56">
        <v>36923</v>
      </c>
      <c r="BB39" s="65">
        <v>258.14</v>
      </c>
      <c r="BC39" s="65">
        <v>0</v>
      </c>
      <c r="BD39" s="65"/>
      <c r="BE39" s="65"/>
      <c r="BT39">
        <v>2004</v>
      </c>
      <c r="BU39">
        <f>0.6*BI23</f>
        <v>60419.999999999985</v>
      </c>
      <c r="BV39" s="8">
        <f t="shared" ref="BV39:BV40" si="56">BW7</f>
        <v>8929.4</v>
      </c>
      <c r="BW39">
        <v>53</v>
      </c>
      <c r="BX39" s="11">
        <f t="shared" ref="BX39:BX40" si="57">BU7</f>
        <v>388.34251968503941</v>
      </c>
      <c r="BY39" s="17">
        <f t="shared" si="51"/>
        <v>-0.3456436996995001</v>
      </c>
      <c r="BZ39" s="8">
        <f t="shared" si="52"/>
        <v>9817.4361463358637</v>
      </c>
      <c r="CA39">
        <v>2004</v>
      </c>
      <c r="CB39" s="8">
        <f t="shared" ref="CB39:CB48" si="58">BV39</f>
        <v>8929.4</v>
      </c>
      <c r="CC39" s="8">
        <f t="shared" ref="CC39:CC48" si="59">BZ39</f>
        <v>9817.4361463358637</v>
      </c>
    </row>
    <row r="40" spans="1:81" x14ac:dyDescent="0.25">
      <c r="A40" t="str">
        <v>2011/12</v>
      </c>
      <c r="B40" s="8">
        <v>7789.7499999999991</v>
      </c>
      <c r="C40" s="8">
        <v>2239.2599999999998</v>
      </c>
      <c r="D40" s="11">
        <f t="shared" si="54"/>
        <v>280.43545061576361</v>
      </c>
      <c r="E40" s="8">
        <f t="shared" si="53"/>
        <v>847.11290851916954</v>
      </c>
      <c r="F40" s="8">
        <f t="shared" si="55"/>
        <v>1392.1470914808301</v>
      </c>
      <c r="Q40" s="56">
        <v>36951</v>
      </c>
      <c r="R40" s="8">
        <v>206.68</v>
      </c>
      <c r="S40" s="8">
        <v>68.94</v>
      </c>
      <c r="BA40" s="56">
        <v>36951</v>
      </c>
      <c r="BB40" s="65">
        <v>95.807000000000002</v>
      </c>
      <c r="BC40" s="65">
        <v>0</v>
      </c>
      <c r="BD40" s="65"/>
      <c r="BE40" s="65"/>
      <c r="BT40">
        <v>2005</v>
      </c>
      <c r="BU40">
        <f>0.6*BJ23</f>
        <v>56640</v>
      </c>
      <c r="BV40" s="8">
        <f t="shared" si="56"/>
        <v>10043.390000000001</v>
      </c>
      <c r="BW40">
        <v>47</v>
      </c>
      <c r="BX40" s="11">
        <f t="shared" si="57"/>
        <v>279.72283430550038</v>
      </c>
      <c r="BY40" s="17">
        <f t="shared" si="51"/>
        <v>0.74055315409589018</v>
      </c>
      <c r="BZ40" s="8">
        <f t="shared" si="52"/>
        <v>7822.6067531814833</v>
      </c>
      <c r="CA40">
        <v>2005</v>
      </c>
      <c r="CB40" s="8">
        <f t="shared" si="58"/>
        <v>10043.390000000001</v>
      </c>
      <c r="CC40" s="8">
        <f t="shared" si="59"/>
        <v>7822.6067531814833</v>
      </c>
    </row>
    <row r="41" spans="1:81" x14ac:dyDescent="0.25">
      <c r="A41" t="str">
        <v>2012/13</v>
      </c>
      <c r="B41" s="8">
        <v>17572.259999999998</v>
      </c>
      <c r="C41" s="8">
        <v>3192.9</v>
      </c>
      <c r="D41" s="11">
        <f t="shared" si="54"/>
        <v>-11.933350714802771</v>
      </c>
      <c r="E41" s="8">
        <f t="shared" si="53"/>
        <v>1449.9361693145761</v>
      </c>
      <c r="F41" s="8">
        <f t="shared" si="55"/>
        <v>1742.963830685424</v>
      </c>
      <c r="Q41" s="56">
        <v>36982</v>
      </c>
      <c r="R41" s="8">
        <v>71.795000000000002</v>
      </c>
      <c r="S41" s="8">
        <v>2.2435999999999998</v>
      </c>
      <c r="BA41" s="56">
        <v>36982</v>
      </c>
      <c r="BB41" s="65">
        <v>1.8079000000000001</v>
      </c>
      <c r="BC41" s="65">
        <v>0</v>
      </c>
      <c r="BD41" s="65"/>
      <c r="BE41" s="65"/>
      <c r="BT41" s="11">
        <f>BT29</f>
        <v>2006</v>
      </c>
      <c r="BU41" s="8">
        <f>BU29</f>
        <v>77526.149999999994</v>
      </c>
      <c r="BV41" s="8">
        <f t="shared" ref="BV41:BZ41" si="60">BV29</f>
        <v>6920.98</v>
      </c>
      <c r="BW41" s="8">
        <f t="shared" si="60"/>
        <v>2</v>
      </c>
      <c r="BX41" s="8">
        <f t="shared" si="60"/>
        <v>280.47677159497118</v>
      </c>
      <c r="BY41" s="8">
        <f t="shared" si="60"/>
        <v>0.7330137812011821</v>
      </c>
      <c r="BZ41" s="8">
        <f t="shared" si="60"/>
        <v>10718.374434940628</v>
      </c>
      <c r="CA41" s="11">
        <v>2006</v>
      </c>
      <c r="CB41" s="8">
        <f t="shared" si="58"/>
        <v>6920.98</v>
      </c>
      <c r="CC41" s="8">
        <f t="shared" si="59"/>
        <v>10718.374434940628</v>
      </c>
    </row>
    <row r="42" spans="1:81" x14ac:dyDescent="0.25">
      <c r="A42" t="str">
        <v>2013/14</v>
      </c>
      <c r="B42" s="8">
        <v>20690.830000000002</v>
      </c>
      <c r="C42" s="8">
        <v>2396.7799999999997</v>
      </c>
      <c r="D42" s="11">
        <f t="shared" si="54"/>
        <v>-69.956549292683633</v>
      </c>
      <c r="E42" s="8">
        <f t="shared" si="53"/>
        <v>1629.2549545513182</v>
      </c>
      <c r="F42" s="8">
        <f t="shared" si="55"/>
        <v>767.52504544868157</v>
      </c>
      <c r="Q42" s="56">
        <v>37012</v>
      </c>
      <c r="R42" s="8">
        <v>42.917999999999999</v>
      </c>
      <c r="S42" s="8">
        <v>0</v>
      </c>
      <c r="BA42" s="56">
        <v>37012</v>
      </c>
      <c r="BB42" s="65">
        <v>0</v>
      </c>
      <c r="BC42" s="65">
        <v>0</v>
      </c>
      <c r="BD42" s="65"/>
      <c r="BE42" s="65"/>
      <c r="BT42" s="11">
        <f t="shared" ref="BT42:BZ42" si="61">BT30</f>
        <v>2007</v>
      </c>
      <c r="BU42" s="8">
        <f t="shared" si="61"/>
        <v>43722.700000000004</v>
      </c>
      <c r="BV42" s="8">
        <f t="shared" si="61"/>
        <v>5879.3200000000006</v>
      </c>
      <c r="BW42" s="8">
        <f t="shared" si="61"/>
        <v>5</v>
      </c>
      <c r="BX42" s="8">
        <f t="shared" si="61"/>
        <v>400.28346456692913</v>
      </c>
      <c r="BY42" s="8">
        <f t="shared" si="61"/>
        <v>-0.4650531485183973</v>
      </c>
      <c r="BZ42" s="8">
        <f t="shared" si="61"/>
        <v>7244.9188163547633</v>
      </c>
      <c r="CA42" s="11">
        <v>2007</v>
      </c>
      <c r="CB42" s="8">
        <f t="shared" si="58"/>
        <v>5879.3200000000006</v>
      </c>
      <c r="CC42" s="8">
        <f t="shared" si="59"/>
        <v>7244.9188163547633</v>
      </c>
    </row>
    <row r="43" spans="1:81" x14ac:dyDescent="0.25">
      <c r="A43" t="e">
        <v>#N/A</v>
      </c>
      <c r="B43" t="e">
        <v>#N/A</v>
      </c>
      <c r="Q43" s="56">
        <v>37043</v>
      </c>
      <c r="R43" s="8">
        <v>186.92</v>
      </c>
      <c r="S43" s="8">
        <v>0</v>
      </c>
      <c r="BA43" s="56">
        <v>37043</v>
      </c>
      <c r="BB43" s="65">
        <v>0</v>
      </c>
      <c r="BC43" s="65">
        <v>0</v>
      </c>
      <c r="BD43" s="65"/>
      <c r="BE43" s="65"/>
      <c r="BT43" s="11">
        <f t="shared" ref="BT43:BZ43" si="62">BT31</f>
        <v>2008</v>
      </c>
      <c r="BU43" s="8">
        <f t="shared" si="62"/>
        <v>38995.15</v>
      </c>
      <c r="BV43" s="8">
        <f t="shared" si="62"/>
        <v>5581.7599999999993</v>
      </c>
      <c r="BW43" s="8">
        <f t="shared" si="62"/>
        <v>22</v>
      </c>
      <c r="BX43" s="8">
        <f t="shared" si="62"/>
        <v>386.80472447928486</v>
      </c>
      <c r="BY43" s="8">
        <f t="shared" si="62"/>
        <v>-0.3302657476419546</v>
      </c>
      <c r="BZ43" s="8">
        <f t="shared" si="62"/>
        <v>6320.3937811577907</v>
      </c>
      <c r="CA43" s="11">
        <v>2008</v>
      </c>
      <c r="CB43" s="8">
        <f t="shared" si="58"/>
        <v>5581.7599999999993</v>
      </c>
      <c r="CC43" s="8">
        <f t="shared" si="59"/>
        <v>6320.3937811577907</v>
      </c>
    </row>
    <row r="44" spans="1:81" x14ac:dyDescent="0.25">
      <c r="Q44" s="56">
        <v>37073</v>
      </c>
      <c r="R44" s="8">
        <v>360.3</v>
      </c>
      <c r="S44" s="8">
        <v>0</v>
      </c>
      <c r="BA44" s="56">
        <v>37073</v>
      </c>
      <c r="BB44" s="65">
        <v>24.741</v>
      </c>
      <c r="BC44" s="65">
        <v>0</v>
      </c>
      <c r="BD44" s="65"/>
      <c r="BE44" s="65"/>
      <c r="BT44" s="11">
        <f t="shared" ref="BT44:BZ44" si="63">BT32</f>
        <v>2009</v>
      </c>
      <c r="BU44" s="8">
        <f t="shared" si="63"/>
        <v>46153.2</v>
      </c>
      <c r="BV44" s="8">
        <f t="shared" si="63"/>
        <v>7147.7799999999988</v>
      </c>
      <c r="BW44" s="8">
        <f t="shared" si="63"/>
        <v>23</v>
      </c>
      <c r="BX44" s="8">
        <f t="shared" si="63"/>
        <v>422.33425204397184</v>
      </c>
      <c r="BY44" s="8">
        <f t="shared" si="63"/>
        <v>-0.68556102328882451</v>
      </c>
      <c r="BZ44" s="8">
        <f t="shared" si="63"/>
        <v>7937.6875713821082</v>
      </c>
      <c r="CA44" s="11">
        <v>2009</v>
      </c>
      <c r="CB44" s="8">
        <f t="shared" si="58"/>
        <v>7147.7799999999988</v>
      </c>
      <c r="CC44" s="8">
        <f t="shared" si="59"/>
        <v>7937.6875713821082</v>
      </c>
    </row>
    <row r="45" spans="1:81" x14ac:dyDescent="0.25">
      <c r="A45" t="s">
        <v>395</v>
      </c>
      <c r="Q45" s="56">
        <v>37104</v>
      </c>
      <c r="R45" s="8">
        <v>332.11</v>
      </c>
      <c r="S45" s="8">
        <v>0</v>
      </c>
      <c r="BA45" s="56">
        <v>37104</v>
      </c>
      <c r="BB45" s="65">
        <v>70.41</v>
      </c>
      <c r="BC45" s="65">
        <v>0</v>
      </c>
      <c r="BD45" s="65"/>
      <c r="BE45" s="65"/>
      <c r="BT45" s="11">
        <f t="shared" ref="BT45:BZ45" si="64">BT33</f>
        <v>2010</v>
      </c>
      <c r="BU45" s="8">
        <f t="shared" si="64"/>
        <v>29314.899999999998</v>
      </c>
      <c r="BV45" s="8">
        <f t="shared" si="64"/>
        <v>11973.600000000002</v>
      </c>
      <c r="BW45" s="8">
        <f t="shared" si="64"/>
        <v>101</v>
      </c>
      <c r="BX45" s="8">
        <f t="shared" si="64"/>
        <v>411.71929208124715</v>
      </c>
      <c r="BY45" s="8">
        <f t="shared" si="64"/>
        <v>-0.5794114236615775</v>
      </c>
      <c r="BZ45" s="8">
        <f t="shared" si="64"/>
        <v>4951.348944791861</v>
      </c>
      <c r="CA45" s="11">
        <v>2010</v>
      </c>
      <c r="CB45" s="8">
        <f t="shared" si="58"/>
        <v>11973.600000000002</v>
      </c>
      <c r="CC45" s="8">
        <f t="shared" si="59"/>
        <v>4951.348944791861</v>
      </c>
    </row>
    <row r="46" spans="1:81" x14ac:dyDescent="0.25">
      <c r="A46" t="s">
        <v>396</v>
      </c>
      <c r="Q46" s="56">
        <v>37135</v>
      </c>
      <c r="R46" s="8">
        <v>483.75</v>
      </c>
      <c r="S46" s="8">
        <v>0</v>
      </c>
      <c r="BA46" s="56">
        <v>37135</v>
      </c>
      <c r="BB46" s="65">
        <v>209.6</v>
      </c>
      <c r="BC46" s="65">
        <v>0</v>
      </c>
      <c r="BD46" s="65"/>
      <c r="BE46" s="65"/>
      <c r="BT46" s="11">
        <f t="shared" ref="BT46:BZ46" si="65">BT34</f>
        <v>2011</v>
      </c>
      <c r="BU46" s="8">
        <f t="shared" si="65"/>
        <v>25750.05</v>
      </c>
      <c r="BV46" s="8">
        <f t="shared" si="65"/>
        <v>12720.259999999998</v>
      </c>
      <c r="BW46" s="8">
        <f t="shared" si="65"/>
        <v>100</v>
      </c>
      <c r="BX46" s="8">
        <f t="shared" si="65"/>
        <v>532.19212591366511</v>
      </c>
      <c r="BY46" s="8">
        <f t="shared" si="65"/>
        <v>-1.7841397619857571</v>
      </c>
      <c r="BZ46" s="8">
        <f t="shared" si="65"/>
        <v>5460.3081305146661</v>
      </c>
      <c r="CA46" s="11">
        <v>2011</v>
      </c>
      <c r="CB46" s="8">
        <f t="shared" si="58"/>
        <v>12720.259999999998</v>
      </c>
      <c r="CC46" s="8">
        <f t="shared" si="59"/>
        <v>5460.3081305146661</v>
      </c>
    </row>
    <row r="47" spans="1:81" x14ac:dyDescent="0.25">
      <c r="A47" t="s">
        <v>397</v>
      </c>
      <c r="Q47" s="56">
        <v>37165</v>
      </c>
      <c r="R47" s="8">
        <v>720.32</v>
      </c>
      <c r="S47" s="8">
        <v>0</v>
      </c>
      <c r="BA47" s="56">
        <v>37165</v>
      </c>
      <c r="BB47" s="65">
        <v>131.19</v>
      </c>
      <c r="BC47" s="65">
        <v>0</v>
      </c>
      <c r="BD47" s="65"/>
      <c r="BE47" s="65"/>
      <c r="BT47" s="11">
        <f t="shared" ref="BT47:BZ48" si="66">BT35</f>
        <v>2012</v>
      </c>
      <c r="BU47" s="8">
        <f t="shared" si="66"/>
        <v>50625.24</v>
      </c>
      <c r="BV47" s="8">
        <f t="shared" si="66"/>
        <v>9526.9300000000021</v>
      </c>
      <c r="BW47" s="8">
        <f t="shared" si="66"/>
        <v>196</v>
      </c>
      <c r="BX47" s="8">
        <f t="shared" si="66"/>
        <v>369.43818958162319</v>
      </c>
      <c r="BY47" s="8">
        <f t="shared" si="66"/>
        <v>-0.15660039866533793</v>
      </c>
      <c r="BZ47" s="8">
        <f t="shared" si="66"/>
        <v>7980.7742191345415</v>
      </c>
      <c r="CA47" s="11">
        <v>2012</v>
      </c>
      <c r="CB47" s="8">
        <f t="shared" si="58"/>
        <v>9526.9300000000021</v>
      </c>
      <c r="CC47" s="8">
        <f t="shared" si="59"/>
        <v>7980.7742191345415</v>
      </c>
    </row>
    <row r="48" spans="1:81" x14ac:dyDescent="0.25">
      <c r="B48" t="s">
        <v>398</v>
      </c>
      <c r="Q48" s="56">
        <v>37196</v>
      </c>
      <c r="R48" s="8">
        <v>452.77</v>
      </c>
      <c r="S48" s="8">
        <v>0</v>
      </c>
      <c r="T48" s="56">
        <f>Q48</f>
        <v>37196</v>
      </c>
      <c r="U48" s="8">
        <f>SUM(R44:R52)</f>
        <v>4029.78</v>
      </c>
      <c r="V48" s="8">
        <f>SUM(S36:S47)</f>
        <v>270.01960000000003</v>
      </c>
      <c r="BA48" s="56">
        <v>37196</v>
      </c>
      <c r="BB48" s="65">
        <v>68.887</v>
      </c>
      <c r="BC48" s="65">
        <v>0</v>
      </c>
      <c r="BD48" s="65">
        <f>SUM(BB44:BB52)</f>
        <v>1800.7279999999998</v>
      </c>
      <c r="BE48" s="65">
        <f>SUM(BC36:BC47)</f>
        <v>0</v>
      </c>
      <c r="BT48" s="11">
        <f t="shared" si="66"/>
        <v>2013</v>
      </c>
      <c r="BU48" s="8">
        <f t="shared" si="66"/>
        <v>69332.59</v>
      </c>
      <c r="BV48" s="8">
        <f t="shared" si="66"/>
        <v>10080.580000000004</v>
      </c>
      <c r="BW48" s="8">
        <f t="shared" si="66"/>
        <v>83</v>
      </c>
      <c r="BX48" s="8">
        <f t="shared" si="66"/>
        <v>266.86614162903129</v>
      </c>
      <c r="BY48" s="8">
        <f t="shared" si="66"/>
        <v>0.86912008086058112</v>
      </c>
      <c r="BZ48" s="8">
        <f t="shared" si="66"/>
        <v>9408.5303590144777</v>
      </c>
      <c r="CA48" s="11">
        <v>2013</v>
      </c>
      <c r="CB48" s="8">
        <f t="shared" si="58"/>
        <v>10080.580000000004</v>
      </c>
      <c r="CC48" s="8">
        <f t="shared" si="59"/>
        <v>9408.5303590144777</v>
      </c>
    </row>
    <row r="49" spans="1:78" x14ac:dyDescent="0.25">
      <c r="A49" t="s">
        <v>51</v>
      </c>
      <c r="B49" s="8">
        <v>10300</v>
      </c>
      <c r="C49" s="8">
        <f>AC2</f>
        <v>3800</v>
      </c>
      <c r="D49" s="11">
        <f>O3-$O$21</f>
        <v>-64.80455002510547</v>
      </c>
      <c r="E49" s="8">
        <f>B49/($I$31-(D49/100))</f>
        <v>814.35507168246295</v>
      </c>
      <c r="F49" s="8">
        <f t="shared" ref="F49:F52" si="67">C49-E49</f>
        <v>2985.6449283175371</v>
      </c>
      <c r="Q49" s="56">
        <v>37226</v>
      </c>
      <c r="R49" s="8">
        <v>148.38999999999999</v>
      </c>
      <c r="S49" s="8">
        <v>0</v>
      </c>
      <c r="BA49" s="56">
        <v>37226</v>
      </c>
      <c r="BB49" s="65">
        <v>141.15</v>
      </c>
      <c r="BC49" s="65">
        <v>0</v>
      </c>
      <c r="BD49" s="65"/>
      <c r="BE49" s="65"/>
    </row>
    <row r="50" spans="1:78" x14ac:dyDescent="0.25">
      <c r="A50" t="s">
        <v>22</v>
      </c>
      <c r="B50" s="8">
        <v>7800</v>
      </c>
      <c r="C50" s="8">
        <f t="shared" ref="C50:C52" si="68">AC3</f>
        <v>3600</v>
      </c>
      <c r="D50" s="11">
        <f t="shared" ref="D50:D52" si="69">O4-$O$21</f>
        <v>21.242649720072734</v>
      </c>
      <c r="E50" s="8">
        <f t="shared" ref="E50:E52" si="70">B50/($I$31-(D50/100))</f>
        <v>661.71379530720912</v>
      </c>
      <c r="F50" s="8">
        <f t="shared" si="67"/>
        <v>2938.2862046927908</v>
      </c>
      <c r="Q50" s="56">
        <v>37257</v>
      </c>
      <c r="R50" s="8">
        <v>538.49</v>
      </c>
      <c r="S50" s="8">
        <v>0</v>
      </c>
      <c r="BA50" s="56">
        <v>37257</v>
      </c>
      <c r="BB50" s="65">
        <v>620.20000000000005</v>
      </c>
      <c r="BC50" s="65">
        <v>0</v>
      </c>
      <c r="BD50" s="65"/>
      <c r="BE50" s="65"/>
    </row>
    <row r="51" spans="1:78" x14ac:dyDescent="0.25">
      <c r="A51" t="s">
        <v>23</v>
      </c>
      <c r="B51" s="8">
        <v>7800</v>
      </c>
      <c r="C51" s="8">
        <f t="shared" si="68"/>
        <v>2600</v>
      </c>
      <c r="D51" s="11">
        <f t="shared" si="69"/>
        <v>-43.876549925923371</v>
      </c>
      <c r="E51" s="8">
        <f t="shared" si="70"/>
        <v>627.07187465384038</v>
      </c>
      <c r="F51" s="8">
        <f t="shared" si="67"/>
        <v>1972.9281253461595</v>
      </c>
      <c r="Q51" s="56">
        <v>37288</v>
      </c>
      <c r="R51" s="8">
        <v>559.79</v>
      </c>
      <c r="S51" s="8">
        <v>0</v>
      </c>
      <c r="BA51" s="56">
        <v>37288</v>
      </c>
      <c r="BB51" s="65">
        <v>201.78</v>
      </c>
      <c r="BC51" s="65">
        <v>0</v>
      </c>
      <c r="BD51" s="65"/>
      <c r="BE51" s="65"/>
    </row>
    <row r="52" spans="1:78" x14ac:dyDescent="0.25">
      <c r="A52" t="s">
        <v>24</v>
      </c>
      <c r="B52" s="8">
        <v>23000</v>
      </c>
      <c r="C52" s="8">
        <f t="shared" si="68"/>
        <v>1927.8999999999999</v>
      </c>
      <c r="D52" s="11">
        <f t="shared" si="69"/>
        <v>-94.987750075459473</v>
      </c>
      <c r="E52" s="8">
        <f t="shared" si="70"/>
        <v>1776.0785767015775</v>
      </c>
      <c r="F52" s="8">
        <f t="shared" si="67"/>
        <v>151.82142329842236</v>
      </c>
      <c r="Q52" s="56">
        <v>37316</v>
      </c>
      <c r="R52" s="8">
        <v>433.86</v>
      </c>
      <c r="S52" s="8">
        <v>0</v>
      </c>
      <c r="BA52" s="56">
        <v>37316</v>
      </c>
      <c r="BB52" s="65">
        <v>332.77</v>
      </c>
      <c r="BC52" s="65">
        <v>0</v>
      </c>
      <c r="BD52" s="65"/>
      <c r="BE52" s="65"/>
    </row>
    <row r="53" spans="1:78" x14ac:dyDescent="0.25">
      <c r="Q53" s="56">
        <v>37347</v>
      </c>
      <c r="R53" s="8">
        <v>90.960999999999999</v>
      </c>
      <c r="S53" s="8">
        <v>0</v>
      </c>
      <c r="BA53" s="56">
        <v>37347</v>
      </c>
      <c r="BB53" s="65">
        <v>34.784999999999997</v>
      </c>
      <c r="BC53" s="65">
        <v>0</v>
      </c>
      <c r="BD53" s="65"/>
      <c r="BE53" s="65"/>
      <c r="BG53" t="s">
        <v>492</v>
      </c>
    </row>
    <row r="54" spans="1:78" x14ac:dyDescent="0.25">
      <c r="Q54" s="56">
        <v>37377</v>
      </c>
      <c r="R54" s="8">
        <v>159.32</v>
      </c>
      <c r="S54" s="8">
        <v>0</v>
      </c>
      <c r="BA54" s="56">
        <v>37377</v>
      </c>
      <c r="BB54" s="65">
        <v>106.36</v>
      </c>
      <c r="BC54" s="65">
        <v>0</v>
      </c>
      <c r="BD54" s="65"/>
      <c r="BE54" s="65"/>
      <c r="BH54" t="s">
        <v>416</v>
      </c>
      <c r="BI54" t="s">
        <v>174</v>
      </c>
      <c r="BJ54" t="s">
        <v>463</v>
      </c>
      <c r="BK54" t="s">
        <v>464</v>
      </c>
      <c r="BL54" t="s">
        <v>191</v>
      </c>
      <c r="BT54" s="23" t="s">
        <v>43</v>
      </c>
      <c r="BU54" s="23" t="s">
        <v>493</v>
      </c>
      <c r="BV54" s="23" t="s">
        <v>494</v>
      </c>
      <c r="BW54" s="23" t="s">
        <v>393</v>
      </c>
      <c r="BY54" t="s">
        <v>271</v>
      </c>
      <c r="BZ54" t="s">
        <v>272</v>
      </c>
    </row>
    <row r="55" spans="1:78" x14ac:dyDescent="0.25">
      <c r="Q55" s="56">
        <v>37408</v>
      </c>
      <c r="R55" s="8">
        <v>328.73</v>
      </c>
      <c r="S55" s="8">
        <v>0</v>
      </c>
      <c r="BA55" s="56">
        <v>37408</v>
      </c>
      <c r="BB55" s="65">
        <v>51.561</v>
      </c>
      <c r="BC55" s="65">
        <v>0</v>
      </c>
      <c r="BD55" s="65"/>
      <c r="BE55" s="65"/>
      <c r="BG55" t="str">
        <f t="array" ref="BG55:BH65">TRANSPOSE(BH25:BR26)</f>
        <v>2003/04</v>
      </c>
      <c r="BH55" s="8">
        <v>61360</v>
      </c>
      <c r="BI55" s="11">
        <f>BU6</f>
        <v>397.8059057926568</v>
      </c>
      <c r="BJ55" s="11">
        <f>BU6-$BU$19</f>
        <v>44.027756077567403</v>
      </c>
      <c r="BK55" s="20">
        <f>$BQ$56-(BJ55/100)</f>
        <v>4.0597224392243261</v>
      </c>
      <c r="BL55" s="8">
        <f>BH55/BK55</f>
        <v>15114.333779854122</v>
      </c>
      <c r="BT55">
        <v>1999</v>
      </c>
      <c r="BU55" s="8">
        <f>BL67</f>
        <v>7642.2782019295973</v>
      </c>
      <c r="BV55" s="8">
        <f>BW2</f>
        <v>11400</v>
      </c>
      <c r="BW55" s="8">
        <f>IF(BU55&gt;BV55,0,BV55-BU55)</f>
        <v>3757.7217980704027</v>
      </c>
      <c r="BY55" s="8">
        <f>BD24</f>
        <v>1431.6186</v>
      </c>
      <c r="BZ55" s="8">
        <f>BE24</f>
        <v>0</v>
      </c>
    </row>
    <row r="56" spans="1:78" x14ac:dyDescent="0.25">
      <c r="Q56" s="56">
        <v>37438</v>
      </c>
      <c r="R56" s="8">
        <v>1416.4</v>
      </c>
      <c r="S56" s="8">
        <v>0</v>
      </c>
      <c r="BA56" s="56">
        <v>37438</v>
      </c>
      <c r="BB56" s="65">
        <v>180.6</v>
      </c>
      <c r="BC56" s="65">
        <v>0</v>
      </c>
      <c r="BD56" s="65"/>
      <c r="BE56" s="65"/>
      <c r="BG56" t="str">
        <v>2004/05</v>
      </c>
      <c r="BH56" s="8">
        <v>59412.999999999985</v>
      </c>
      <c r="BI56" s="11">
        <f t="shared" ref="BI56:BI65" si="71">BU3</f>
        <v>466.4212595571683</v>
      </c>
      <c r="BJ56" s="11">
        <f t="shared" ref="BJ56:BJ65" si="72">BU7-$BU$19</f>
        <v>34.564369969950008</v>
      </c>
      <c r="BK56" s="20">
        <f t="shared" ref="BK56:BK70" si="73">$BQ$56-(BJ56/100)</f>
        <v>4.1543563003005</v>
      </c>
      <c r="BL56" s="8">
        <f t="shared" ref="BL56:BL70" si="74">BH56/BK56</f>
        <v>14301.37323457365</v>
      </c>
      <c r="BO56" t="s">
        <v>461</v>
      </c>
      <c r="BQ56">
        <v>4.5</v>
      </c>
      <c r="BR56" t="s">
        <v>376</v>
      </c>
      <c r="BT56">
        <v>2000</v>
      </c>
      <c r="BU56" s="8">
        <f t="shared" ref="BU56:BU58" si="75">BL68</f>
        <v>11856.879514532959</v>
      </c>
      <c r="BV56" s="8">
        <f t="shared" ref="BV56:BV69" si="76">BW3</f>
        <v>10800</v>
      </c>
      <c r="BW56" s="8">
        <f t="shared" ref="BW56:BW69" si="77">IF(BU56&gt;BV56,0,BV56-BU56)</f>
        <v>0</v>
      </c>
      <c r="BY56" s="8">
        <f>BD36</f>
        <v>1708.7340000000002</v>
      </c>
      <c r="BZ56" s="8">
        <f>BE36</f>
        <v>19.922000000000001</v>
      </c>
    </row>
    <row r="57" spans="1:78" x14ac:dyDescent="0.25">
      <c r="Q57" s="56">
        <v>37469</v>
      </c>
      <c r="R57" s="8">
        <v>472.55</v>
      </c>
      <c r="S57" s="8">
        <v>0</v>
      </c>
      <c r="BA57" s="56">
        <v>37469</v>
      </c>
      <c r="BB57" s="65">
        <v>180.95</v>
      </c>
      <c r="BC57" s="65">
        <v>0</v>
      </c>
      <c r="BD57" s="65"/>
      <c r="BE57" s="65"/>
      <c r="BG57" t="str">
        <v>2005/06</v>
      </c>
      <c r="BH57" s="8">
        <v>52864.000000000007</v>
      </c>
      <c r="BI57" s="11">
        <f t="shared" si="71"/>
        <v>278.08464572185608</v>
      </c>
      <c r="BJ57" s="11">
        <f t="shared" si="72"/>
        <v>-74.055315409589014</v>
      </c>
      <c r="BK57" s="20">
        <f t="shared" si="73"/>
        <v>5.2405531540958901</v>
      </c>
      <c r="BL57" s="8">
        <f t="shared" si="74"/>
        <v>10087.484745514465</v>
      </c>
      <c r="BO57" t="s">
        <v>462</v>
      </c>
      <c r="BT57">
        <v>2001</v>
      </c>
      <c r="BU57" s="8">
        <f t="shared" si="75"/>
        <v>9511.2455490116899</v>
      </c>
      <c r="BV57" s="8">
        <f t="shared" si="76"/>
        <v>7800</v>
      </c>
      <c r="BW57" s="8">
        <f t="shared" si="77"/>
        <v>0</v>
      </c>
      <c r="BY57" s="8">
        <f>BD48</f>
        <v>1800.7279999999998</v>
      </c>
      <c r="BZ57" s="8">
        <f>BE48</f>
        <v>0</v>
      </c>
    </row>
    <row r="58" spans="1:78" x14ac:dyDescent="0.25">
      <c r="Q58" s="56">
        <v>37500</v>
      </c>
      <c r="R58" s="8">
        <v>411.67</v>
      </c>
      <c r="S58" s="8">
        <v>0</v>
      </c>
      <c r="BA58" s="56">
        <v>37500</v>
      </c>
      <c r="BB58" s="65">
        <v>358.43</v>
      </c>
      <c r="BC58" s="65">
        <v>0</v>
      </c>
      <c r="BD58" s="65"/>
      <c r="BE58" s="65"/>
      <c r="BG58" t="str">
        <v>2006/07</v>
      </c>
      <c r="BH58" s="8">
        <v>77526.149999999994</v>
      </c>
      <c r="BI58" s="11">
        <f t="shared" si="71"/>
        <v>243.9094488188976</v>
      </c>
      <c r="BJ58" s="11">
        <f t="shared" si="72"/>
        <v>-73.301378120118216</v>
      </c>
      <c r="BK58" s="20">
        <f t="shared" si="73"/>
        <v>5.2330137812011817</v>
      </c>
      <c r="BL58" s="8">
        <f t="shared" si="74"/>
        <v>14814.818619148506</v>
      </c>
      <c r="BT58">
        <v>2002</v>
      </c>
      <c r="BU58" s="8">
        <f t="shared" si="75"/>
        <v>10716.798403618013</v>
      </c>
      <c r="BV58" s="8">
        <f t="shared" si="76"/>
        <v>3429.4000000000005</v>
      </c>
      <c r="BW58" s="8">
        <f t="shared" si="77"/>
        <v>0</v>
      </c>
      <c r="BY58" s="8">
        <f>BD60</f>
        <v>2235.011</v>
      </c>
      <c r="BZ58" s="8">
        <f>BE60</f>
        <v>14.07</v>
      </c>
    </row>
    <row r="59" spans="1:78" x14ac:dyDescent="0.25">
      <c r="Q59" s="56">
        <v>37530</v>
      </c>
      <c r="R59" s="8">
        <v>168.75</v>
      </c>
      <c r="S59" s="8">
        <v>0</v>
      </c>
      <c r="BA59" s="56">
        <v>37530</v>
      </c>
      <c r="BB59" s="65">
        <v>315.07</v>
      </c>
      <c r="BC59" s="65">
        <v>14.07</v>
      </c>
      <c r="BD59" s="65"/>
      <c r="BE59" s="65"/>
      <c r="BG59" t="str">
        <v>2007/08</v>
      </c>
      <c r="BH59" s="8">
        <v>43722.700000000004</v>
      </c>
      <c r="BI59" s="11">
        <f t="shared" si="71"/>
        <v>397.8059057926568</v>
      </c>
      <c r="BJ59" s="11">
        <f t="shared" si="72"/>
        <v>46.505314851839728</v>
      </c>
      <c r="BK59" s="20">
        <f t="shared" si="73"/>
        <v>4.0349468514816031</v>
      </c>
      <c r="BL59" s="8">
        <f t="shared" si="74"/>
        <v>10836.003944871132</v>
      </c>
      <c r="BT59">
        <v>2003</v>
      </c>
      <c r="BU59" s="8">
        <f>BL55</f>
        <v>15114.333779854122</v>
      </c>
      <c r="BV59" s="8">
        <f t="shared" si="76"/>
        <v>6427.4000000000005</v>
      </c>
      <c r="BW59" s="8">
        <f t="shared" si="77"/>
        <v>0</v>
      </c>
      <c r="BY59" s="8">
        <f>BD72</f>
        <v>338.9067</v>
      </c>
      <c r="BZ59" s="8">
        <f>BE72</f>
        <v>506.49003999999996</v>
      </c>
    </row>
    <row r="60" spans="1:78" x14ac:dyDescent="0.25">
      <c r="Q60" s="56">
        <v>37561</v>
      </c>
      <c r="R60" s="8">
        <v>140.04</v>
      </c>
      <c r="S60" s="8">
        <v>56.448</v>
      </c>
      <c r="T60" s="56">
        <f>Q60</f>
        <v>37561</v>
      </c>
      <c r="U60" s="8">
        <f>SUM(R56:R64)</f>
        <v>2966.8369999999995</v>
      </c>
      <c r="V60" s="8">
        <f>SUM(S48:S59)</f>
        <v>0</v>
      </c>
      <c r="BA60" s="56">
        <v>37561</v>
      </c>
      <c r="BB60" s="65">
        <v>375.68</v>
      </c>
      <c r="BC60" s="65">
        <v>28.92</v>
      </c>
      <c r="BD60" s="65">
        <f>SUM(BB56:BB64)</f>
        <v>2235.011</v>
      </c>
      <c r="BE60" s="65">
        <f>SUM(BC48:BC59)</f>
        <v>14.07</v>
      </c>
      <c r="BG60" t="str">
        <v>2008/09</v>
      </c>
      <c r="BH60" s="8">
        <v>38995.15</v>
      </c>
      <c r="BI60" s="11">
        <f t="shared" si="71"/>
        <v>388.34251968503941</v>
      </c>
      <c r="BJ60" s="11">
        <f t="shared" si="72"/>
        <v>33.026574764195459</v>
      </c>
      <c r="BK60" s="20">
        <f t="shared" si="73"/>
        <v>4.1697342523580456</v>
      </c>
      <c r="BL60" s="8">
        <f t="shared" si="74"/>
        <v>9351.9509014148025</v>
      </c>
      <c r="BT60">
        <v>2004</v>
      </c>
      <c r="BU60" s="8">
        <f t="shared" ref="BU60:BU69" si="78">BL56</f>
        <v>14301.37323457365</v>
      </c>
      <c r="BV60" s="8">
        <f t="shared" si="76"/>
        <v>8929.4</v>
      </c>
      <c r="BW60" s="8">
        <f t="shared" si="77"/>
        <v>0</v>
      </c>
      <c r="BY60" s="8">
        <f>BD84</f>
        <v>1479.1989999999998</v>
      </c>
      <c r="BZ60" s="8">
        <f>BE84</f>
        <v>17.956199999999999</v>
      </c>
    </row>
    <row r="61" spans="1:78" x14ac:dyDescent="0.25">
      <c r="Q61" s="56">
        <v>37591</v>
      </c>
      <c r="R61" s="8">
        <v>154.19999999999999</v>
      </c>
      <c r="S61" s="8">
        <v>91.872</v>
      </c>
      <c r="BA61" s="56">
        <v>37591</v>
      </c>
      <c r="BB61" s="65">
        <v>326.38</v>
      </c>
      <c r="BC61" s="65">
        <v>19.036999999999999</v>
      </c>
      <c r="BD61" s="65"/>
      <c r="BE61" s="65"/>
      <c r="BG61" t="str">
        <v>2009/10</v>
      </c>
      <c r="BH61" s="8">
        <v>46153.2</v>
      </c>
      <c r="BI61" s="11">
        <f t="shared" si="71"/>
        <v>279.72283430550038</v>
      </c>
      <c r="BJ61" s="11">
        <f t="shared" si="72"/>
        <v>68.556102328882446</v>
      </c>
      <c r="BK61" s="20">
        <f t="shared" si="73"/>
        <v>3.8144389767111755</v>
      </c>
      <c r="BL61" s="8">
        <f t="shared" si="74"/>
        <v>12099.603711524956</v>
      </c>
      <c r="BT61">
        <v>2005</v>
      </c>
      <c r="BU61" s="8">
        <f t="shared" si="78"/>
        <v>10087.484745514465</v>
      </c>
      <c r="BV61" s="8">
        <f t="shared" si="76"/>
        <v>10043.390000000001</v>
      </c>
      <c r="BW61" s="8">
        <f t="shared" si="77"/>
        <v>0</v>
      </c>
      <c r="BY61" s="8">
        <f>BD96</f>
        <v>1467.8425999999999</v>
      </c>
      <c r="BZ61" s="8">
        <f>BE96</f>
        <v>12.774900000000001</v>
      </c>
    </row>
    <row r="62" spans="1:78" x14ac:dyDescent="0.25">
      <c r="Q62" s="56">
        <v>37622</v>
      </c>
      <c r="R62" s="8">
        <v>163.94</v>
      </c>
      <c r="S62" s="8">
        <v>0</v>
      </c>
      <c r="BA62" s="56">
        <v>37622</v>
      </c>
      <c r="BB62" s="65">
        <v>404.58</v>
      </c>
      <c r="BC62" s="65">
        <v>110.9</v>
      </c>
      <c r="BD62" s="65"/>
      <c r="BE62" s="65"/>
      <c r="BG62" t="str">
        <v>2010/11</v>
      </c>
      <c r="BH62" s="8">
        <v>29314.899999999998</v>
      </c>
      <c r="BI62" s="11">
        <f t="shared" si="71"/>
        <v>280.47677159497118</v>
      </c>
      <c r="BJ62" s="11">
        <f t="shared" si="72"/>
        <v>57.941142366157749</v>
      </c>
      <c r="BK62" s="20">
        <f t="shared" si="73"/>
        <v>3.9205885763384227</v>
      </c>
      <c r="BL62" s="8">
        <f t="shared" si="74"/>
        <v>7477.1681417738118</v>
      </c>
      <c r="BT62">
        <v>2006</v>
      </c>
      <c r="BU62" s="8">
        <f t="shared" si="78"/>
        <v>14814.818619148506</v>
      </c>
      <c r="BV62" s="8">
        <f t="shared" si="76"/>
        <v>6920.98</v>
      </c>
      <c r="BW62" s="8">
        <f t="shared" si="77"/>
        <v>0</v>
      </c>
      <c r="BY62" s="8">
        <f>BD108</f>
        <v>948.13900000000001</v>
      </c>
      <c r="BZ62" s="8">
        <f>BE108</f>
        <v>99.527000000000001</v>
      </c>
    </row>
    <row r="63" spans="1:78" x14ac:dyDescent="0.25">
      <c r="Q63" s="56">
        <v>37653</v>
      </c>
      <c r="R63" s="8">
        <v>0</v>
      </c>
      <c r="S63" s="8">
        <v>93.617000000000004</v>
      </c>
      <c r="BA63" s="56">
        <v>37653</v>
      </c>
      <c r="BB63" s="65">
        <v>0</v>
      </c>
      <c r="BC63" s="65">
        <v>320.18</v>
      </c>
      <c r="BD63" s="65"/>
      <c r="BE63" s="65"/>
      <c r="BG63" t="str">
        <v>2011/12</v>
      </c>
      <c r="BH63" s="8">
        <v>25750.05</v>
      </c>
      <c r="BI63" s="11">
        <f t="shared" si="71"/>
        <v>400.28346456692913</v>
      </c>
      <c r="BJ63" s="11">
        <f t="shared" si="72"/>
        <v>178.41397619857571</v>
      </c>
      <c r="BK63" s="20">
        <f t="shared" si="73"/>
        <v>2.7158602380142431</v>
      </c>
      <c r="BL63" s="8">
        <f t="shared" si="74"/>
        <v>9481.3605058070571</v>
      </c>
      <c r="BT63">
        <v>2007</v>
      </c>
      <c r="BU63" s="8">
        <f t="shared" si="78"/>
        <v>10836.003944871132</v>
      </c>
      <c r="BV63" s="8">
        <f t="shared" si="76"/>
        <v>5879.3200000000006</v>
      </c>
      <c r="BW63" s="8">
        <f t="shared" si="77"/>
        <v>0</v>
      </c>
      <c r="BY63" s="8">
        <f>BD120</f>
        <v>808.38070000000005</v>
      </c>
      <c r="BZ63" s="8">
        <f>BE120</f>
        <v>128.37870000000001</v>
      </c>
    </row>
    <row r="64" spans="1:78" x14ac:dyDescent="0.25">
      <c r="Q64" s="56">
        <v>37681</v>
      </c>
      <c r="R64" s="8">
        <v>39.286999999999999</v>
      </c>
      <c r="S64" s="8">
        <v>0</v>
      </c>
      <c r="BA64" s="56">
        <v>37681</v>
      </c>
      <c r="BB64" s="65">
        <v>93.320999999999998</v>
      </c>
      <c r="BC64" s="65">
        <v>9.7708999999999993</v>
      </c>
      <c r="BD64" s="65"/>
      <c r="BE64" s="65"/>
      <c r="BG64" t="str">
        <v>2012/13</v>
      </c>
      <c r="BH64" s="8">
        <v>50625.24</v>
      </c>
      <c r="BI64" s="11">
        <f t="shared" si="71"/>
        <v>386.80472447928486</v>
      </c>
      <c r="BJ64" s="11">
        <f t="shared" si="72"/>
        <v>15.660039866533793</v>
      </c>
      <c r="BK64" s="20">
        <f t="shared" si="73"/>
        <v>4.3433996013346619</v>
      </c>
      <c r="BL64" s="8">
        <f t="shared" si="74"/>
        <v>11655.671742577777</v>
      </c>
      <c r="BT64">
        <v>2008</v>
      </c>
      <c r="BU64" s="8">
        <f t="shared" si="78"/>
        <v>9351.9509014148025</v>
      </c>
      <c r="BV64" s="8">
        <f t="shared" si="76"/>
        <v>5581.7599999999993</v>
      </c>
      <c r="BW64" s="8">
        <f t="shared" si="77"/>
        <v>0</v>
      </c>
      <c r="BY64" s="8">
        <f>BD132</f>
        <v>1402.4090000000001</v>
      </c>
      <c r="BZ64" s="8">
        <f>BE132</f>
        <v>125.9444</v>
      </c>
    </row>
    <row r="65" spans="17:78" x14ac:dyDescent="0.25">
      <c r="Q65" s="56">
        <v>37712</v>
      </c>
      <c r="R65" s="8">
        <v>2.0733000000000001E-2</v>
      </c>
      <c r="S65" s="8">
        <v>0</v>
      </c>
      <c r="BA65" s="56">
        <v>37712</v>
      </c>
      <c r="BB65" s="65">
        <v>4.8220999999999998</v>
      </c>
      <c r="BC65" s="65">
        <v>0</v>
      </c>
      <c r="BD65" s="65"/>
      <c r="BE65" s="65"/>
      <c r="BG65" t="str">
        <v>2013/14</v>
      </c>
      <c r="BH65" s="8">
        <v>69332.59</v>
      </c>
      <c r="BI65" s="11">
        <f t="shared" si="71"/>
        <v>422.33425204397184</v>
      </c>
      <c r="BJ65" s="11">
        <f t="shared" si="72"/>
        <v>-86.912008086058108</v>
      </c>
      <c r="BK65" s="20">
        <f t="shared" si="73"/>
        <v>5.369120080860581</v>
      </c>
      <c r="BL65" s="8">
        <f t="shared" si="74"/>
        <v>12913.212771521237</v>
      </c>
      <c r="BT65">
        <v>2009</v>
      </c>
      <c r="BU65" s="8">
        <f t="shared" si="78"/>
        <v>12099.603711524956</v>
      </c>
      <c r="BV65" s="8">
        <f t="shared" si="76"/>
        <v>7147.7799999999988</v>
      </c>
      <c r="BW65" s="8">
        <f t="shared" si="77"/>
        <v>0</v>
      </c>
      <c r="BY65" s="8">
        <f>BD144</f>
        <v>1733.7249999999999</v>
      </c>
      <c r="BZ65" s="8">
        <f>BE144</f>
        <v>154.14100000000002</v>
      </c>
    </row>
    <row r="66" spans="17:78" x14ac:dyDescent="0.25">
      <c r="Q66" s="56">
        <v>37742</v>
      </c>
      <c r="R66" s="8">
        <v>37.362000000000002</v>
      </c>
      <c r="S66" s="8">
        <v>0</v>
      </c>
      <c r="BA66" s="56">
        <v>37742</v>
      </c>
      <c r="BB66" s="65">
        <v>0</v>
      </c>
      <c r="BC66" s="65">
        <v>0</v>
      </c>
      <c r="BD66" s="65"/>
      <c r="BE66" s="65"/>
      <c r="BG66" t="s">
        <v>355</v>
      </c>
      <c r="BT66">
        <v>2010</v>
      </c>
      <c r="BU66" s="8">
        <f t="shared" si="78"/>
        <v>7477.1681417738118</v>
      </c>
      <c r="BV66" s="8">
        <f t="shared" si="76"/>
        <v>11973.600000000002</v>
      </c>
      <c r="BW66" s="8">
        <f t="shared" si="77"/>
        <v>4496.4318582261903</v>
      </c>
      <c r="BY66" s="8">
        <f>BD156</f>
        <v>1084.819</v>
      </c>
      <c r="BZ66" s="8">
        <f>BE156</f>
        <v>87.865900000000011</v>
      </c>
    </row>
    <row r="67" spans="17:78" x14ac:dyDescent="0.25">
      <c r="Q67" s="56">
        <v>37773</v>
      </c>
      <c r="R67" s="8">
        <v>40.697000000000003</v>
      </c>
      <c r="S67" s="8">
        <v>0</v>
      </c>
      <c r="BA67" s="56">
        <v>37773</v>
      </c>
      <c r="BB67" s="65">
        <v>15.066000000000001</v>
      </c>
      <c r="BC67" s="65">
        <v>0</v>
      </c>
      <c r="BD67" s="65"/>
      <c r="BE67" s="65"/>
      <c r="BG67" t="s">
        <v>51</v>
      </c>
      <c r="BH67">
        <v>40000</v>
      </c>
      <c r="BI67" s="11">
        <f>BU2</f>
        <v>280.37401624739641</v>
      </c>
      <c r="BJ67" s="11">
        <f>BU2-$BU$19</f>
        <v>-73.404133467692986</v>
      </c>
      <c r="BK67" s="20">
        <f t="shared" si="73"/>
        <v>5.2340413346769301</v>
      </c>
      <c r="BL67" s="8">
        <f t="shared" si="74"/>
        <v>7642.2782019295973</v>
      </c>
      <c r="BT67">
        <v>2011</v>
      </c>
      <c r="BU67" s="8">
        <f t="shared" si="78"/>
        <v>9481.3605058070571</v>
      </c>
      <c r="BV67" s="8">
        <f t="shared" si="76"/>
        <v>12720.259999999998</v>
      </c>
      <c r="BW67" s="8">
        <f t="shared" si="77"/>
        <v>3238.8994941929413</v>
      </c>
      <c r="BY67" s="8">
        <f>BD168</f>
        <v>751.76206000000002</v>
      </c>
      <c r="BZ67" s="8">
        <f>BE168</f>
        <v>4.9678800000000001</v>
      </c>
    </row>
    <row r="68" spans="17:78" x14ac:dyDescent="0.25">
      <c r="Q68" s="56">
        <v>37803</v>
      </c>
      <c r="R68" s="8">
        <v>25.632000000000001</v>
      </c>
      <c r="S68" s="8">
        <v>29.073</v>
      </c>
      <c r="BA68" s="56">
        <v>37803</v>
      </c>
      <c r="BB68" s="65">
        <v>1.7971999999999999</v>
      </c>
      <c r="BC68" s="65">
        <v>0.1144</v>
      </c>
      <c r="BD68" s="65"/>
      <c r="BE68" s="65"/>
      <c r="BG68" t="s">
        <v>22</v>
      </c>
      <c r="BH68">
        <v>40000</v>
      </c>
      <c r="BI68" s="11">
        <f t="shared" ref="BI68:BI70" si="79">BU3</f>
        <v>466.4212595571683</v>
      </c>
      <c r="BJ68" s="11">
        <f t="shared" ref="BJ68:BJ70" si="80">BU3-$BU$19</f>
        <v>112.6431098420789</v>
      </c>
      <c r="BK68" s="20">
        <f t="shared" si="73"/>
        <v>3.373568901579211</v>
      </c>
      <c r="BL68" s="8">
        <f t="shared" si="74"/>
        <v>11856.879514532959</v>
      </c>
      <c r="BT68">
        <v>2012</v>
      </c>
      <c r="BU68" s="8">
        <f t="shared" si="78"/>
        <v>11655.671742577777</v>
      </c>
      <c r="BV68" s="8">
        <f t="shared" si="76"/>
        <v>9526.9300000000021</v>
      </c>
      <c r="BW68" s="8">
        <f t="shared" si="77"/>
        <v>0</v>
      </c>
      <c r="BY68" s="8">
        <f>BD180</f>
        <v>1863.2</v>
      </c>
      <c r="BZ68" s="8">
        <f>BE180</f>
        <v>0</v>
      </c>
    </row>
    <row r="69" spans="17:78" x14ac:dyDescent="0.25">
      <c r="Q69" s="56">
        <v>37834</v>
      </c>
      <c r="R69" s="8">
        <v>9.6753999999999998</v>
      </c>
      <c r="S69" s="8">
        <v>76.394000000000005</v>
      </c>
      <c r="BA69" s="56">
        <v>37834</v>
      </c>
      <c r="BB69" s="65">
        <v>1.5416000000000001</v>
      </c>
      <c r="BC69" s="65">
        <v>0.10274</v>
      </c>
      <c r="BD69" s="65"/>
      <c r="BE69" s="65"/>
      <c r="BG69" t="s">
        <v>23</v>
      </c>
      <c r="BH69">
        <v>50000</v>
      </c>
      <c r="BI69" s="11">
        <f t="shared" si="79"/>
        <v>278.08464572185608</v>
      </c>
      <c r="BJ69" s="11">
        <f t="shared" si="80"/>
        <v>-75.693503993233321</v>
      </c>
      <c r="BK69" s="20">
        <f t="shared" si="73"/>
        <v>5.2569350399323334</v>
      </c>
      <c r="BL69" s="8">
        <f t="shared" si="74"/>
        <v>9511.2455490116899</v>
      </c>
      <c r="BT69">
        <v>2013</v>
      </c>
      <c r="BU69" s="8">
        <f t="shared" si="78"/>
        <v>12913.212771521237</v>
      </c>
      <c r="BV69" s="8">
        <f t="shared" si="76"/>
        <v>10080.580000000004</v>
      </c>
      <c r="BW69" s="8">
        <f t="shared" si="77"/>
        <v>0</v>
      </c>
      <c r="BY69" s="8">
        <f>BD192</f>
        <v>2753.47</v>
      </c>
      <c r="BZ69" s="8">
        <f>BE192</f>
        <v>0</v>
      </c>
    </row>
    <row r="70" spans="17:78" x14ac:dyDescent="0.25">
      <c r="Q70" s="56">
        <v>37865</v>
      </c>
      <c r="R70" s="8">
        <v>102.82</v>
      </c>
      <c r="S70" s="8">
        <v>28.369</v>
      </c>
      <c r="BA70" s="56">
        <v>37865</v>
      </c>
      <c r="BB70" s="65">
        <v>65.305999999999997</v>
      </c>
      <c r="BC70" s="65">
        <v>17.465</v>
      </c>
      <c r="BD70" s="65"/>
      <c r="BE70" s="65"/>
      <c r="BG70" t="s">
        <v>24</v>
      </c>
      <c r="BH70">
        <v>60000</v>
      </c>
      <c r="BI70" s="11">
        <f t="shared" si="79"/>
        <v>243.9094488188976</v>
      </c>
      <c r="BJ70" s="11">
        <f t="shared" si="80"/>
        <v>-109.8687008961918</v>
      </c>
      <c r="BK70" s="20">
        <f t="shared" si="73"/>
        <v>5.5986870089619183</v>
      </c>
      <c r="BL70" s="8">
        <f t="shared" si="74"/>
        <v>10716.798403618013</v>
      </c>
    </row>
    <row r="71" spans="17:78" x14ac:dyDescent="0.25">
      <c r="Q71" s="56">
        <v>37895</v>
      </c>
      <c r="R71" s="8">
        <v>31.143999999999998</v>
      </c>
      <c r="S71" s="8">
        <v>13.935</v>
      </c>
      <c r="BA71" s="56">
        <v>37895</v>
      </c>
      <c r="BB71" s="65">
        <v>17.946000000000002</v>
      </c>
      <c r="BC71" s="65">
        <v>0</v>
      </c>
      <c r="BD71" s="65"/>
      <c r="BE71" s="65"/>
    </row>
    <row r="72" spans="17:78" x14ac:dyDescent="0.25">
      <c r="Q72" s="56">
        <v>37926</v>
      </c>
      <c r="R72" s="8">
        <v>4.5189000000000004</v>
      </c>
      <c r="S72" s="8">
        <v>0</v>
      </c>
      <c r="T72" s="56">
        <f>Q72</f>
        <v>37926</v>
      </c>
      <c r="U72" s="8">
        <f>SUM(R68:R76)</f>
        <v>447.23689999999999</v>
      </c>
      <c r="V72" s="8">
        <f>SUM(S60:S71)</f>
        <v>389.70800000000003</v>
      </c>
      <c r="BA72" s="56">
        <v>37926</v>
      </c>
      <c r="BB72" s="65">
        <v>37.207000000000001</v>
      </c>
      <c r="BC72" s="65">
        <v>3.7869999999999999</v>
      </c>
      <c r="BD72" s="65">
        <f>SUM(BB68:BB76)</f>
        <v>338.9067</v>
      </c>
      <c r="BE72" s="65">
        <f>SUM(BC60:BC71)</f>
        <v>506.49003999999996</v>
      </c>
    </row>
    <row r="73" spans="17:78" x14ac:dyDescent="0.25">
      <c r="Q73" s="56">
        <v>37956</v>
      </c>
      <c r="R73" s="8">
        <v>16.204999999999998</v>
      </c>
      <c r="S73" s="8">
        <v>94.587000000000003</v>
      </c>
      <c r="BA73" s="56">
        <v>37956</v>
      </c>
      <c r="BB73" s="65">
        <v>76.003</v>
      </c>
      <c r="BC73" s="65">
        <v>10.282</v>
      </c>
      <c r="BD73" s="65"/>
      <c r="BE73" s="65"/>
    </row>
    <row r="74" spans="17:78" x14ac:dyDescent="0.25">
      <c r="Q74" s="56">
        <v>37987</v>
      </c>
      <c r="R74" s="8">
        <v>7.2515999999999998</v>
      </c>
      <c r="S74" s="8">
        <v>27.748000000000001</v>
      </c>
      <c r="BA74" s="56">
        <v>37987</v>
      </c>
      <c r="BB74" s="65">
        <v>8.6849000000000007</v>
      </c>
      <c r="BC74" s="65">
        <v>3.8872</v>
      </c>
      <c r="BD74" s="65"/>
      <c r="BE74" s="65"/>
    </row>
    <row r="75" spans="17:78" x14ac:dyDescent="0.25">
      <c r="Q75" s="56">
        <v>38018</v>
      </c>
      <c r="R75" s="8">
        <v>125.48</v>
      </c>
      <c r="S75" s="8">
        <v>0</v>
      </c>
      <c r="BA75" s="56">
        <v>38018</v>
      </c>
      <c r="BB75" s="65">
        <v>90.665000000000006</v>
      </c>
      <c r="BC75" s="65">
        <v>0</v>
      </c>
      <c r="BD75" s="65"/>
      <c r="BE75" s="65"/>
    </row>
    <row r="76" spans="17:78" x14ac:dyDescent="0.25">
      <c r="Q76" s="56">
        <v>38047</v>
      </c>
      <c r="R76" s="8">
        <v>124.51</v>
      </c>
      <c r="S76" s="8">
        <v>0</v>
      </c>
      <c r="BA76" s="56">
        <v>38047</v>
      </c>
      <c r="BB76" s="65">
        <v>39.756</v>
      </c>
      <c r="BC76" s="65">
        <v>0</v>
      </c>
      <c r="BD76" s="65"/>
      <c r="BE76" s="65"/>
    </row>
    <row r="77" spans="17:78" x14ac:dyDescent="0.25">
      <c r="Q77" s="56">
        <v>38078</v>
      </c>
      <c r="R77" s="8">
        <v>39.753</v>
      </c>
      <c r="S77" s="8">
        <v>0</v>
      </c>
      <c r="BA77" s="56">
        <v>38078</v>
      </c>
      <c r="BB77" s="65">
        <v>38.779000000000003</v>
      </c>
      <c r="BC77" s="65">
        <v>0</v>
      </c>
      <c r="BD77" s="65"/>
      <c r="BE77" s="65"/>
    </row>
    <row r="78" spans="17:78" x14ac:dyDescent="0.25">
      <c r="Q78" s="56">
        <v>38108</v>
      </c>
      <c r="R78" s="8">
        <v>12.711</v>
      </c>
      <c r="S78" s="8">
        <v>0</v>
      </c>
      <c r="BA78" s="56">
        <v>38108</v>
      </c>
      <c r="BB78" s="65">
        <v>0</v>
      </c>
      <c r="BC78" s="65">
        <v>0</v>
      </c>
      <c r="BD78" s="65"/>
      <c r="BE78" s="65"/>
    </row>
    <row r="79" spans="17:78" x14ac:dyDescent="0.25">
      <c r="Q79" s="56">
        <v>38139</v>
      </c>
      <c r="R79" s="8">
        <v>155.35</v>
      </c>
      <c r="S79" s="8">
        <v>0</v>
      </c>
      <c r="BA79" s="56">
        <v>38139</v>
      </c>
      <c r="BB79" s="65">
        <v>40.662999999999997</v>
      </c>
      <c r="BC79" s="65">
        <v>0</v>
      </c>
      <c r="BD79" s="65"/>
      <c r="BE79" s="65"/>
    </row>
    <row r="80" spans="17:78" x14ac:dyDescent="0.25">
      <c r="Q80" s="56">
        <v>38169</v>
      </c>
      <c r="R80" s="8">
        <v>311.11</v>
      </c>
      <c r="S80" s="8">
        <v>0</v>
      </c>
      <c r="BA80" s="56">
        <v>38169</v>
      </c>
      <c r="BB80" s="65">
        <v>68.411000000000001</v>
      </c>
      <c r="BC80" s="65">
        <v>0</v>
      </c>
      <c r="BD80" s="65"/>
      <c r="BE80" s="65"/>
    </row>
    <row r="81" spans="17:57" x14ac:dyDescent="0.25">
      <c r="Q81" s="56">
        <v>38200</v>
      </c>
      <c r="R81" s="8">
        <v>419.89</v>
      </c>
      <c r="S81" s="8">
        <v>0</v>
      </c>
      <c r="BA81" s="56">
        <v>38200</v>
      </c>
      <c r="BB81" s="65">
        <v>76.096999999999994</v>
      </c>
      <c r="BC81" s="65">
        <v>0</v>
      </c>
      <c r="BD81" s="65"/>
      <c r="BE81" s="65"/>
    </row>
    <row r="82" spans="17:57" x14ac:dyDescent="0.25">
      <c r="Q82" s="56">
        <v>38231</v>
      </c>
      <c r="R82" s="8">
        <v>164.8</v>
      </c>
      <c r="S82" s="8">
        <v>0</v>
      </c>
      <c r="BA82" s="56">
        <v>38231</v>
      </c>
      <c r="BB82" s="65">
        <v>56.988</v>
      </c>
      <c r="BC82" s="65">
        <v>0</v>
      </c>
      <c r="BD82" s="65"/>
      <c r="BE82" s="65"/>
    </row>
    <row r="83" spans="17:57" x14ac:dyDescent="0.25">
      <c r="Q83" s="56">
        <v>38261</v>
      </c>
      <c r="R83" s="8">
        <v>420.51</v>
      </c>
      <c r="S83" s="8">
        <v>0</v>
      </c>
      <c r="BA83" s="56">
        <v>38261</v>
      </c>
      <c r="BB83" s="65">
        <v>48.290999999999997</v>
      </c>
      <c r="BC83" s="65">
        <v>0</v>
      </c>
      <c r="BD83" s="65"/>
      <c r="BE83" s="65"/>
    </row>
    <row r="84" spans="17:57" x14ac:dyDescent="0.25">
      <c r="Q84" s="56">
        <v>38292</v>
      </c>
      <c r="R84" s="8">
        <v>184.68</v>
      </c>
      <c r="S84" s="8">
        <v>0</v>
      </c>
      <c r="T84" s="56">
        <f>Q84</f>
        <v>38292</v>
      </c>
      <c r="U84" s="8">
        <f>SUM(R80:R88)</f>
        <v>2496.7159999999999</v>
      </c>
      <c r="V84" s="8">
        <f>SUM(S72:S83)</f>
        <v>122.33500000000001</v>
      </c>
      <c r="BA84" s="56">
        <v>38292</v>
      </c>
      <c r="BB84" s="65">
        <v>75.751999999999995</v>
      </c>
      <c r="BC84" s="65">
        <v>0</v>
      </c>
      <c r="BD84" s="65">
        <f>SUM(BB80:BB88)</f>
        <v>1479.1989999999998</v>
      </c>
      <c r="BE84" s="65">
        <f>SUM(BC72:BC83)</f>
        <v>17.956199999999999</v>
      </c>
    </row>
    <row r="85" spans="17:57" x14ac:dyDescent="0.25">
      <c r="Q85" s="56">
        <v>38322</v>
      </c>
      <c r="R85" s="8">
        <v>20.026</v>
      </c>
      <c r="S85" s="8">
        <v>227.14</v>
      </c>
      <c r="BA85" s="56">
        <v>38322</v>
      </c>
      <c r="BB85" s="65">
        <v>37.19</v>
      </c>
      <c r="BC85" s="65">
        <v>0</v>
      </c>
      <c r="BD85" s="65"/>
      <c r="BE85" s="65"/>
    </row>
    <row r="86" spans="17:57" x14ac:dyDescent="0.25">
      <c r="Q86" s="56">
        <v>38353</v>
      </c>
      <c r="R86" s="8">
        <v>186.43</v>
      </c>
      <c r="S86" s="8">
        <v>0</v>
      </c>
      <c r="BA86" s="56">
        <v>38353</v>
      </c>
      <c r="BB86" s="65">
        <v>321.14</v>
      </c>
      <c r="BC86" s="65">
        <v>0</v>
      </c>
      <c r="BD86" s="65"/>
      <c r="BE86" s="65"/>
    </row>
    <row r="87" spans="17:57" x14ac:dyDescent="0.25">
      <c r="Q87" s="56">
        <v>38384</v>
      </c>
      <c r="R87" s="8">
        <v>309.83</v>
      </c>
      <c r="S87" s="8">
        <v>0</v>
      </c>
      <c r="BA87" s="56">
        <v>38384</v>
      </c>
      <c r="BB87" s="65">
        <v>468.06</v>
      </c>
      <c r="BC87" s="65">
        <v>0</v>
      </c>
      <c r="BD87" s="65"/>
      <c r="BE87" s="65"/>
    </row>
    <row r="88" spans="17:57" x14ac:dyDescent="0.25">
      <c r="Q88" s="56">
        <v>38412</v>
      </c>
      <c r="R88" s="8">
        <v>479.44</v>
      </c>
      <c r="S88" s="8">
        <v>0</v>
      </c>
      <c r="BA88" s="56">
        <v>38412</v>
      </c>
      <c r="BB88" s="65">
        <v>327.27</v>
      </c>
      <c r="BC88" s="65">
        <v>0</v>
      </c>
      <c r="BD88" s="65"/>
      <c r="BE88" s="65"/>
    </row>
    <row r="89" spans="17:57" x14ac:dyDescent="0.25">
      <c r="Q89" s="56">
        <v>38443</v>
      </c>
      <c r="R89" s="8">
        <v>66.203000000000003</v>
      </c>
      <c r="S89" s="8">
        <v>0</v>
      </c>
      <c r="BA89" s="56">
        <v>38443</v>
      </c>
      <c r="BB89" s="65">
        <v>194.87</v>
      </c>
      <c r="BC89" s="65">
        <v>0</v>
      </c>
      <c r="BD89" s="65"/>
      <c r="BE89" s="65"/>
    </row>
    <row r="90" spans="17:57" x14ac:dyDescent="0.25">
      <c r="Q90" s="56">
        <v>38473</v>
      </c>
      <c r="R90" s="8">
        <v>85.129000000000005</v>
      </c>
      <c r="S90" s="8">
        <v>0</v>
      </c>
      <c r="BA90" s="56">
        <v>38473</v>
      </c>
      <c r="BB90" s="65">
        <v>113.46</v>
      </c>
      <c r="BC90" s="65">
        <v>0</v>
      </c>
      <c r="BD90" s="65"/>
      <c r="BE90" s="65"/>
    </row>
    <row r="91" spans="17:57" x14ac:dyDescent="0.25">
      <c r="Q91" s="56">
        <v>38504</v>
      </c>
      <c r="R91" s="8">
        <v>110.37</v>
      </c>
      <c r="S91" s="8">
        <v>0</v>
      </c>
      <c r="BA91" s="56">
        <v>38504</v>
      </c>
      <c r="BB91" s="65">
        <v>38.003</v>
      </c>
      <c r="BC91" s="65">
        <v>3.2187999999999999</v>
      </c>
      <c r="BD91" s="65"/>
      <c r="BE91" s="65"/>
    </row>
    <row r="92" spans="17:57" x14ac:dyDescent="0.25">
      <c r="Q92" s="56">
        <v>38534</v>
      </c>
      <c r="R92" s="8">
        <v>0</v>
      </c>
      <c r="S92" s="8">
        <v>99.265000000000001</v>
      </c>
      <c r="BA92" s="56">
        <v>38534</v>
      </c>
      <c r="BB92" s="65">
        <v>0</v>
      </c>
      <c r="BC92" s="65">
        <v>0</v>
      </c>
      <c r="BD92" s="65"/>
      <c r="BE92" s="65"/>
    </row>
    <row r="93" spans="17:57" x14ac:dyDescent="0.25">
      <c r="Q93" s="56">
        <v>38565</v>
      </c>
      <c r="R93" s="8">
        <v>25.001999999999999</v>
      </c>
      <c r="S93" s="8">
        <v>34.24</v>
      </c>
      <c r="BA93" s="56">
        <v>38565</v>
      </c>
      <c r="BB93" s="65">
        <v>7.5115999999999996</v>
      </c>
      <c r="BC93" s="65">
        <v>0</v>
      </c>
      <c r="BD93" s="65"/>
      <c r="BE93" s="65"/>
    </row>
    <row r="94" spans="17:57" x14ac:dyDescent="0.25">
      <c r="Q94" s="56">
        <v>38596</v>
      </c>
      <c r="R94" s="8">
        <v>9.6113</v>
      </c>
      <c r="S94" s="8">
        <v>115.72</v>
      </c>
      <c r="BA94" s="56">
        <v>38596</v>
      </c>
      <c r="BB94" s="65">
        <v>76.86</v>
      </c>
      <c r="BC94" s="65">
        <v>9.5561000000000007</v>
      </c>
      <c r="BD94" s="65"/>
      <c r="BE94" s="65"/>
    </row>
    <row r="95" spans="17:57" x14ac:dyDescent="0.25">
      <c r="Q95" s="56">
        <v>38626</v>
      </c>
      <c r="R95" s="8">
        <v>79.165000000000006</v>
      </c>
      <c r="S95" s="8">
        <v>0</v>
      </c>
      <c r="BA95" s="56">
        <v>38626</v>
      </c>
      <c r="BB95" s="65">
        <v>20.831</v>
      </c>
      <c r="BC95" s="65">
        <v>0</v>
      </c>
      <c r="BD95" s="65"/>
      <c r="BE95" s="65"/>
    </row>
    <row r="96" spans="17:57" x14ac:dyDescent="0.25">
      <c r="Q96" s="56">
        <v>38657</v>
      </c>
      <c r="R96" s="8">
        <v>19.321000000000002</v>
      </c>
      <c r="S96" s="8">
        <v>0</v>
      </c>
      <c r="T96" s="56">
        <f>Q96</f>
        <v>38657</v>
      </c>
      <c r="U96" s="8">
        <f>SUM(R92:R100)</f>
        <v>1360.8103000000001</v>
      </c>
      <c r="V96" s="8">
        <f>SUM(S84:S95)</f>
        <v>476.36500000000001</v>
      </c>
      <c r="BA96" s="56">
        <v>38657</v>
      </c>
      <c r="BB96" s="65">
        <v>0</v>
      </c>
      <c r="BC96" s="65">
        <v>0</v>
      </c>
      <c r="BD96" s="65">
        <f>SUM(BB92:BB100)</f>
        <v>1467.8425999999999</v>
      </c>
      <c r="BE96" s="65">
        <f>SUM(BC84:BC95)</f>
        <v>12.774900000000001</v>
      </c>
    </row>
    <row r="97" spans="17:57" x14ac:dyDescent="0.25">
      <c r="Q97" s="56">
        <v>38687</v>
      </c>
      <c r="R97" s="8">
        <v>65.811000000000007</v>
      </c>
      <c r="S97" s="8">
        <v>0</v>
      </c>
      <c r="BA97" s="56">
        <v>38687</v>
      </c>
      <c r="BB97" s="65">
        <v>263.75</v>
      </c>
      <c r="BC97" s="65">
        <v>0</v>
      </c>
      <c r="BD97" s="65"/>
      <c r="BE97" s="65"/>
    </row>
    <row r="98" spans="17:57" x14ac:dyDescent="0.25">
      <c r="Q98" s="56">
        <v>38718</v>
      </c>
      <c r="R98" s="8">
        <v>213.94</v>
      </c>
      <c r="S98" s="8">
        <v>14.502000000000001</v>
      </c>
      <c r="BA98" s="56">
        <v>38718</v>
      </c>
      <c r="BB98" s="65">
        <v>392.82</v>
      </c>
      <c r="BC98" s="65">
        <v>10.289</v>
      </c>
      <c r="BD98" s="65"/>
      <c r="BE98" s="65"/>
    </row>
    <row r="99" spans="17:57" x14ac:dyDescent="0.25">
      <c r="Q99" s="56">
        <v>38749</v>
      </c>
      <c r="R99" s="8">
        <v>252.31</v>
      </c>
      <c r="S99" s="8">
        <v>8.5524000000000004</v>
      </c>
      <c r="BA99" s="56">
        <v>38749</v>
      </c>
      <c r="BB99" s="65">
        <v>349.47</v>
      </c>
      <c r="BC99" s="65">
        <v>62.826999999999998</v>
      </c>
      <c r="BD99" s="65"/>
      <c r="BE99" s="65"/>
    </row>
    <row r="100" spans="17:57" x14ac:dyDescent="0.25">
      <c r="Q100" s="56">
        <v>38777</v>
      </c>
      <c r="R100" s="8">
        <v>695.65</v>
      </c>
      <c r="S100" s="8">
        <v>0</v>
      </c>
      <c r="BA100" s="56">
        <v>38777</v>
      </c>
      <c r="BB100" s="65">
        <v>356.6</v>
      </c>
      <c r="BC100" s="65">
        <v>26.411000000000001</v>
      </c>
      <c r="BD100" s="65"/>
      <c r="BE100" s="65"/>
    </row>
    <row r="101" spans="17:57" x14ac:dyDescent="0.25">
      <c r="Q101" s="56">
        <v>38808</v>
      </c>
      <c r="R101" s="8">
        <v>0</v>
      </c>
      <c r="S101" s="8">
        <v>0</v>
      </c>
      <c r="BA101" s="56">
        <v>38808</v>
      </c>
      <c r="BB101" s="65">
        <v>6.9827000000000004</v>
      </c>
      <c r="BC101" s="65">
        <v>0</v>
      </c>
      <c r="BD101" s="65"/>
      <c r="BE101" s="65"/>
    </row>
    <row r="102" spans="17:57" x14ac:dyDescent="0.25">
      <c r="Q102" s="56">
        <v>38838</v>
      </c>
      <c r="R102" s="8">
        <v>42.68</v>
      </c>
      <c r="S102" s="8">
        <v>0</v>
      </c>
      <c r="BA102" s="56">
        <v>38838</v>
      </c>
      <c r="BB102" s="65">
        <v>33.527999999999999</v>
      </c>
      <c r="BC102" s="65">
        <v>0</v>
      </c>
      <c r="BD102" s="65"/>
      <c r="BE102" s="65"/>
    </row>
    <row r="103" spans="17:57" x14ac:dyDescent="0.25">
      <c r="Q103" s="56">
        <v>38869</v>
      </c>
      <c r="R103" s="8">
        <v>94.433000000000007</v>
      </c>
      <c r="S103" s="8">
        <v>0</v>
      </c>
      <c r="BA103" s="56">
        <v>38869</v>
      </c>
      <c r="BB103" s="65">
        <v>32.268000000000001</v>
      </c>
      <c r="BC103" s="65">
        <v>0</v>
      </c>
      <c r="BD103" s="65"/>
      <c r="BE103" s="65"/>
    </row>
    <row r="104" spans="17:57" x14ac:dyDescent="0.25">
      <c r="Q104" s="56">
        <v>38899</v>
      </c>
      <c r="R104" s="8">
        <v>0</v>
      </c>
      <c r="S104" s="8">
        <v>0</v>
      </c>
      <c r="BA104" s="56">
        <v>38899</v>
      </c>
      <c r="BB104" s="65">
        <v>44.378</v>
      </c>
      <c r="BC104" s="65">
        <v>0</v>
      </c>
      <c r="BD104" s="65"/>
      <c r="BE104" s="65"/>
    </row>
    <row r="105" spans="17:57" x14ac:dyDescent="0.25">
      <c r="Q105" s="56">
        <v>38930</v>
      </c>
      <c r="R105" s="8">
        <v>0</v>
      </c>
      <c r="S105" s="8">
        <v>0</v>
      </c>
      <c r="BA105" s="56">
        <v>38930</v>
      </c>
      <c r="BB105" s="65">
        <v>88.700999999999993</v>
      </c>
      <c r="BC105" s="65">
        <v>0</v>
      </c>
      <c r="BD105" s="65"/>
      <c r="BE105" s="65"/>
    </row>
    <row r="106" spans="17:57" x14ac:dyDescent="0.25">
      <c r="Q106" s="56">
        <v>38961</v>
      </c>
      <c r="R106" s="8">
        <v>0</v>
      </c>
      <c r="S106" s="8">
        <v>0</v>
      </c>
      <c r="BA106" s="56">
        <v>38961</v>
      </c>
      <c r="BB106" s="65">
        <v>224.89</v>
      </c>
      <c r="BC106" s="65">
        <v>0</v>
      </c>
      <c r="BD106" s="65"/>
      <c r="BE106" s="65"/>
    </row>
    <row r="107" spans="17:57" x14ac:dyDescent="0.25">
      <c r="Q107" s="56">
        <v>38991</v>
      </c>
      <c r="R107" s="8">
        <v>0</v>
      </c>
      <c r="S107" s="8">
        <v>0</v>
      </c>
      <c r="BA107" s="56">
        <v>38991</v>
      </c>
      <c r="BB107" s="65">
        <v>216.76</v>
      </c>
      <c r="BC107" s="65">
        <v>0</v>
      </c>
      <c r="BD107" s="65"/>
      <c r="BE107" s="65"/>
    </row>
    <row r="108" spans="17:57" x14ac:dyDescent="0.25">
      <c r="Q108" s="56">
        <v>39022</v>
      </c>
      <c r="R108" s="8">
        <v>0</v>
      </c>
      <c r="S108" s="8">
        <v>0</v>
      </c>
      <c r="T108" s="56">
        <f>Q108</f>
        <v>39022</v>
      </c>
      <c r="U108" s="8">
        <f>SUM(R104:R112)</f>
        <v>0</v>
      </c>
      <c r="V108" s="8">
        <f>SUM(S96:S107)</f>
        <v>23.054400000000001</v>
      </c>
      <c r="BA108" s="56">
        <v>39022</v>
      </c>
      <c r="BB108" s="65">
        <v>187.53</v>
      </c>
      <c r="BC108" s="65">
        <v>0</v>
      </c>
      <c r="BD108" s="65">
        <f>SUM(BB104:BB112)</f>
        <v>948.13900000000001</v>
      </c>
      <c r="BE108" s="65">
        <f>SUM(BC96:BC107)</f>
        <v>99.527000000000001</v>
      </c>
    </row>
    <row r="109" spans="17:57" x14ac:dyDescent="0.25">
      <c r="Q109" s="56">
        <v>39052</v>
      </c>
      <c r="R109" s="8">
        <v>0</v>
      </c>
      <c r="S109" s="8">
        <v>0</v>
      </c>
      <c r="BA109" s="56">
        <v>39052</v>
      </c>
      <c r="BB109" s="65">
        <v>185.88</v>
      </c>
      <c r="BC109" s="65">
        <v>19.815999999999999</v>
      </c>
      <c r="BD109" s="65"/>
      <c r="BE109" s="65"/>
    </row>
    <row r="110" spans="17:57" x14ac:dyDescent="0.25">
      <c r="Q110" s="56">
        <v>39083</v>
      </c>
      <c r="R110" s="8">
        <v>0</v>
      </c>
      <c r="S110" s="8">
        <v>0</v>
      </c>
      <c r="BA110" s="56">
        <v>39083</v>
      </c>
      <c r="BB110" s="65">
        <v>0</v>
      </c>
      <c r="BC110" s="65">
        <v>0</v>
      </c>
      <c r="BD110" s="65"/>
      <c r="BE110" s="65"/>
    </row>
    <row r="111" spans="17:57" x14ac:dyDescent="0.25">
      <c r="Q111" s="56">
        <v>39114</v>
      </c>
      <c r="R111" s="8">
        <v>0</v>
      </c>
      <c r="S111" s="8">
        <v>0</v>
      </c>
      <c r="BA111" s="56">
        <v>39114</v>
      </c>
      <c r="BB111" s="65">
        <v>0</v>
      </c>
      <c r="BC111" s="65">
        <v>0</v>
      </c>
      <c r="BD111" s="65"/>
      <c r="BE111" s="65"/>
    </row>
    <row r="112" spans="17:57" x14ac:dyDescent="0.25">
      <c r="Q112" s="56">
        <v>39142</v>
      </c>
      <c r="R112" s="8">
        <v>0</v>
      </c>
      <c r="S112" s="8">
        <v>223.25</v>
      </c>
      <c r="BA112" s="56">
        <v>39142</v>
      </c>
      <c r="BB112" s="65">
        <v>0</v>
      </c>
      <c r="BC112" s="65">
        <v>0</v>
      </c>
      <c r="BD112" s="65"/>
      <c r="BE112" s="65"/>
    </row>
    <row r="113" spans="17:57" x14ac:dyDescent="0.25">
      <c r="Q113" s="56">
        <v>39173</v>
      </c>
      <c r="R113" s="8">
        <v>0</v>
      </c>
      <c r="S113" s="8">
        <v>0</v>
      </c>
      <c r="BA113" s="56">
        <v>39173</v>
      </c>
      <c r="BB113" s="65">
        <v>0</v>
      </c>
      <c r="BC113" s="65">
        <v>0</v>
      </c>
      <c r="BD113" s="65"/>
      <c r="BE113" s="65"/>
    </row>
    <row r="114" spans="17:57" x14ac:dyDescent="0.25">
      <c r="Q114" s="56">
        <v>39203</v>
      </c>
      <c r="R114" s="8">
        <v>0</v>
      </c>
      <c r="S114" s="8">
        <v>0</v>
      </c>
      <c r="BA114" s="56">
        <v>39203</v>
      </c>
      <c r="BB114" s="65">
        <v>0</v>
      </c>
      <c r="BC114" s="65">
        <v>0</v>
      </c>
      <c r="BD114" s="65"/>
      <c r="BE114" s="65"/>
    </row>
    <row r="115" spans="17:57" x14ac:dyDescent="0.25">
      <c r="Q115" s="56">
        <v>39234</v>
      </c>
      <c r="R115" s="8">
        <v>0</v>
      </c>
      <c r="S115" s="8">
        <v>0</v>
      </c>
      <c r="BA115" s="56">
        <v>39234</v>
      </c>
      <c r="BB115" s="65">
        <v>0</v>
      </c>
      <c r="BC115" s="65">
        <v>107.3</v>
      </c>
      <c r="BD115" s="65"/>
      <c r="BE115" s="65"/>
    </row>
    <row r="116" spans="17:57" x14ac:dyDescent="0.25">
      <c r="Q116" s="56">
        <v>39264</v>
      </c>
      <c r="R116" s="8">
        <v>0</v>
      </c>
      <c r="S116" s="8">
        <v>157.99</v>
      </c>
      <c r="BA116" s="56">
        <v>39264</v>
      </c>
      <c r="BB116" s="65">
        <v>0</v>
      </c>
      <c r="BC116" s="65">
        <v>1.2626999999999999</v>
      </c>
      <c r="BD116" s="65"/>
      <c r="BE116" s="65"/>
    </row>
    <row r="117" spans="17:57" x14ac:dyDescent="0.25">
      <c r="Q117" s="56">
        <v>39295</v>
      </c>
      <c r="R117" s="8">
        <v>12.973000000000001</v>
      </c>
      <c r="S117" s="8">
        <v>149.94999999999999</v>
      </c>
      <c r="BA117" s="56">
        <v>39295</v>
      </c>
      <c r="BB117" s="65">
        <v>0</v>
      </c>
      <c r="BC117" s="65">
        <v>0</v>
      </c>
      <c r="BD117" s="65"/>
      <c r="BE117" s="65"/>
    </row>
    <row r="118" spans="17:57" x14ac:dyDescent="0.25">
      <c r="Q118" s="56">
        <v>39326</v>
      </c>
      <c r="R118" s="8">
        <v>75.936000000000007</v>
      </c>
      <c r="S118" s="8">
        <v>0</v>
      </c>
      <c r="BA118" s="56">
        <v>39326</v>
      </c>
      <c r="BB118" s="65">
        <v>159</v>
      </c>
      <c r="BC118" s="65">
        <v>0</v>
      </c>
      <c r="BD118" s="65"/>
      <c r="BE118" s="65"/>
    </row>
    <row r="119" spans="17:57" x14ac:dyDescent="0.25">
      <c r="Q119" s="56">
        <v>39356</v>
      </c>
      <c r="R119" s="8">
        <v>0</v>
      </c>
      <c r="S119" s="8">
        <v>0</v>
      </c>
      <c r="BA119" s="56">
        <v>39356</v>
      </c>
      <c r="BB119" s="65">
        <v>135.65</v>
      </c>
      <c r="BC119" s="65">
        <v>0</v>
      </c>
      <c r="BD119" s="65"/>
      <c r="BE119" s="65"/>
    </row>
    <row r="120" spans="17:57" x14ac:dyDescent="0.25">
      <c r="Q120" s="56">
        <v>39387</v>
      </c>
      <c r="R120" s="8">
        <v>0</v>
      </c>
      <c r="S120" s="8">
        <v>0</v>
      </c>
      <c r="T120" s="56">
        <f>Q120</f>
        <v>39387</v>
      </c>
      <c r="U120" s="8">
        <f>SUM(R116:R124)</f>
        <v>738.42920000000004</v>
      </c>
      <c r="V120" s="8">
        <f>SUM(S108:S119)</f>
        <v>531.19000000000005</v>
      </c>
      <c r="BA120" s="56">
        <v>39387</v>
      </c>
      <c r="BB120" s="65">
        <v>138.36000000000001</v>
      </c>
      <c r="BC120" s="65">
        <v>5.1784999999999997</v>
      </c>
      <c r="BD120" s="65">
        <f>SUM(BB116:BB124)</f>
        <v>808.38070000000005</v>
      </c>
      <c r="BE120" s="65">
        <f>SUM(BC108:BC119)</f>
        <v>128.37870000000001</v>
      </c>
    </row>
    <row r="121" spans="17:57" x14ac:dyDescent="0.25">
      <c r="Q121" s="56">
        <v>39417</v>
      </c>
      <c r="R121" s="8">
        <v>3.9702000000000002</v>
      </c>
      <c r="S121" s="8">
        <v>29.239000000000001</v>
      </c>
      <c r="BA121" s="56">
        <v>39417</v>
      </c>
      <c r="BB121" s="65">
        <v>0</v>
      </c>
      <c r="BC121" s="65">
        <v>0</v>
      </c>
      <c r="BD121" s="65"/>
      <c r="BE121" s="65"/>
    </row>
    <row r="122" spans="17:57" x14ac:dyDescent="0.25">
      <c r="Q122" s="56">
        <v>39448</v>
      </c>
      <c r="R122" s="8">
        <v>109.7</v>
      </c>
      <c r="S122" s="8">
        <v>9.4555000000000007</v>
      </c>
      <c r="BA122" s="56">
        <v>39448</v>
      </c>
      <c r="BB122" s="65">
        <v>119.41</v>
      </c>
      <c r="BC122" s="65">
        <v>12.564</v>
      </c>
      <c r="BD122" s="65"/>
      <c r="BE122" s="65"/>
    </row>
    <row r="123" spans="17:57" x14ac:dyDescent="0.25">
      <c r="Q123" s="56">
        <v>39479</v>
      </c>
      <c r="R123" s="8">
        <v>229.44</v>
      </c>
      <c r="S123" s="8">
        <v>27.462</v>
      </c>
      <c r="BA123" s="56">
        <v>39479</v>
      </c>
      <c r="BB123" s="65">
        <v>6.6307</v>
      </c>
      <c r="BC123" s="65">
        <v>0</v>
      </c>
      <c r="BD123" s="65"/>
      <c r="BE123" s="65"/>
    </row>
    <row r="124" spans="17:57" x14ac:dyDescent="0.25">
      <c r="Q124" s="56">
        <v>39508</v>
      </c>
      <c r="R124" s="8">
        <v>306.41000000000003</v>
      </c>
      <c r="S124" s="8">
        <v>4.7960000000000003</v>
      </c>
      <c r="BA124" s="56">
        <v>39508</v>
      </c>
      <c r="BB124" s="65">
        <v>249.33</v>
      </c>
      <c r="BC124" s="65">
        <v>6.3818999999999999</v>
      </c>
      <c r="BD124" s="65"/>
      <c r="BE124" s="65"/>
    </row>
    <row r="125" spans="17:57" x14ac:dyDescent="0.25">
      <c r="Q125" s="56">
        <v>39539</v>
      </c>
      <c r="R125" s="8">
        <v>33.485999999999997</v>
      </c>
      <c r="S125" s="8">
        <v>0</v>
      </c>
      <c r="BA125" s="56">
        <v>39539</v>
      </c>
      <c r="BB125" s="65">
        <v>89.046999999999997</v>
      </c>
      <c r="BC125" s="65">
        <v>0</v>
      </c>
      <c r="BD125" s="65"/>
      <c r="BE125" s="65"/>
    </row>
    <row r="126" spans="17:57" x14ac:dyDescent="0.25">
      <c r="Q126" s="56">
        <v>39569</v>
      </c>
      <c r="R126" s="8">
        <v>0</v>
      </c>
      <c r="S126" s="8">
        <v>0</v>
      </c>
      <c r="BA126" s="56">
        <v>39569</v>
      </c>
      <c r="BB126" s="65">
        <v>71.784000000000006</v>
      </c>
      <c r="BC126" s="65">
        <v>0</v>
      </c>
      <c r="BD126" s="65"/>
      <c r="BE126" s="65"/>
    </row>
    <row r="127" spans="17:57" x14ac:dyDescent="0.25">
      <c r="Q127" s="56">
        <v>39600</v>
      </c>
      <c r="R127" s="8">
        <v>0</v>
      </c>
      <c r="S127" s="8">
        <v>0</v>
      </c>
      <c r="BA127" s="56">
        <v>39600</v>
      </c>
      <c r="BB127" s="65">
        <v>7.6685999999999996</v>
      </c>
      <c r="BC127" s="65">
        <v>0</v>
      </c>
      <c r="BD127" s="65"/>
      <c r="BE127" s="65"/>
    </row>
    <row r="128" spans="17:57" x14ac:dyDescent="0.25">
      <c r="Q128" s="56">
        <v>39630</v>
      </c>
      <c r="R128" s="8">
        <v>0</v>
      </c>
      <c r="S128" s="8">
        <v>0</v>
      </c>
      <c r="BA128" s="56">
        <v>39630</v>
      </c>
      <c r="BB128" s="65">
        <v>102.73</v>
      </c>
      <c r="BC128" s="65">
        <v>0</v>
      </c>
      <c r="BD128" s="65"/>
      <c r="BE128" s="65"/>
    </row>
    <row r="129" spans="17:57" x14ac:dyDescent="0.25">
      <c r="Q129" s="56">
        <v>39661</v>
      </c>
      <c r="R129" s="8">
        <v>0</v>
      </c>
      <c r="S129" s="8">
        <v>0</v>
      </c>
      <c r="BA129" s="56">
        <v>39661</v>
      </c>
      <c r="BB129" s="65">
        <v>116.66</v>
      </c>
      <c r="BC129" s="65">
        <v>0</v>
      </c>
      <c r="BD129" s="65"/>
      <c r="BE129" s="65"/>
    </row>
    <row r="130" spans="17:57" x14ac:dyDescent="0.25">
      <c r="Q130" s="56">
        <v>39692</v>
      </c>
      <c r="R130" s="8">
        <v>0</v>
      </c>
      <c r="S130" s="8">
        <v>113.99</v>
      </c>
      <c r="BA130" s="56">
        <v>39692</v>
      </c>
      <c r="BB130" s="65">
        <v>53.505000000000003</v>
      </c>
      <c r="BC130" s="65">
        <v>101.82</v>
      </c>
      <c r="BD130" s="65"/>
      <c r="BE130" s="65"/>
    </row>
    <row r="131" spans="17:57" x14ac:dyDescent="0.25">
      <c r="Q131" s="56">
        <v>39722</v>
      </c>
      <c r="R131" s="8">
        <v>115.42</v>
      </c>
      <c r="S131" s="8">
        <v>80.278999999999996</v>
      </c>
      <c r="BA131" s="56">
        <v>39722</v>
      </c>
      <c r="BB131" s="65">
        <v>0</v>
      </c>
      <c r="BC131" s="65">
        <v>0</v>
      </c>
      <c r="BD131" s="65"/>
      <c r="BE131" s="65"/>
    </row>
    <row r="132" spans="17:57" x14ac:dyDescent="0.25">
      <c r="Q132" s="56">
        <v>39753</v>
      </c>
      <c r="R132" s="8">
        <v>22.876999999999999</v>
      </c>
      <c r="S132" s="8">
        <v>39.76</v>
      </c>
      <c r="T132" s="56">
        <f>Q132</f>
        <v>39753</v>
      </c>
      <c r="U132" s="8">
        <f>SUM(R128:R136)</f>
        <v>752.42699999999991</v>
      </c>
      <c r="V132" s="8">
        <f>SUM(S120:S131)</f>
        <v>265.22149999999999</v>
      </c>
      <c r="BA132" s="56">
        <v>39753</v>
      </c>
      <c r="BB132" s="65">
        <v>52.944000000000003</v>
      </c>
      <c r="BC132" s="65">
        <v>0</v>
      </c>
      <c r="BD132" s="65">
        <f>SUM(BB128:BB136)</f>
        <v>1402.4090000000001</v>
      </c>
      <c r="BE132" s="65">
        <f>SUM(BC120:BC131)</f>
        <v>125.9444</v>
      </c>
    </row>
    <row r="133" spans="17:57" x14ac:dyDescent="0.25">
      <c r="Q133" s="56">
        <v>39783</v>
      </c>
      <c r="R133" s="8">
        <v>30.1</v>
      </c>
      <c r="S133" s="8">
        <v>10.494999999999999</v>
      </c>
      <c r="BA133" s="56">
        <v>39783</v>
      </c>
      <c r="BB133" s="65">
        <v>0</v>
      </c>
      <c r="BC133" s="65">
        <v>0</v>
      </c>
      <c r="BD133" s="65"/>
      <c r="BE133" s="65"/>
    </row>
    <row r="134" spans="17:57" x14ac:dyDescent="0.25">
      <c r="Q134" s="56">
        <v>39814</v>
      </c>
      <c r="R134" s="8">
        <v>211.79</v>
      </c>
      <c r="S134" s="8">
        <v>0</v>
      </c>
      <c r="BA134" s="56">
        <v>39814</v>
      </c>
      <c r="BB134" s="65">
        <v>451.35</v>
      </c>
      <c r="BC134" s="65">
        <v>0</v>
      </c>
      <c r="BD134" s="65"/>
      <c r="BE134" s="65"/>
    </row>
    <row r="135" spans="17:57" x14ac:dyDescent="0.25">
      <c r="Q135" s="56">
        <v>39845</v>
      </c>
      <c r="R135" s="8">
        <v>153.91999999999999</v>
      </c>
      <c r="S135" s="8">
        <v>0</v>
      </c>
      <c r="BA135" s="56">
        <v>39845</v>
      </c>
      <c r="BB135" s="65">
        <v>251.79</v>
      </c>
      <c r="BC135" s="65">
        <v>0</v>
      </c>
      <c r="BD135" s="65"/>
      <c r="BE135" s="65"/>
    </row>
    <row r="136" spans="17:57" x14ac:dyDescent="0.25">
      <c r="Q136" s="56">
        <v>39873</v>
      </c>
      <c r="R136" s="8">
        <v>218.32</v>
      </c>
      <c r="S136" s="8">
        <v>0</v>
      </c>
      <c r="BA136" s="56">
        <v>39873</v>
      </c>
      <c r="BB136" s="65">
        <v>373.43</v>
      </c>
      <c r="BC136" s="65">
        <v>0</v>
      </c>
      <c r="BD136" s="65"/>
      <c r="BE136" s="65"/>
    </row>
    <row r="137" spans="17:57" x14ac:dyDescent="0.25">
      <c r="Q137" s="56">
        <v>39904</v>
      </c>
      <c r="R137" s="8">
        <v>4.0442999999999998</v>
      </c>
      <c r="S137" s="8">
        <v>0</v>
      </c>
      <c r="BA137" s="56">
        <v>39904</v>
      </c>
      <c r="BB137" s="65">
        <v>33.581000000000003</v>
      </c>
      <c r="BC137" s="65">
        <v>0</v>
      </c>
      <c r="BD137" s="65"/>
      <c r="BE137" s="65"/>
    </row>
    <row r="138" spans="17:57" x14ac:dyDescent="0.25">
      <c r="Q138" s="56">
        <v>39934</v>
      </c>
      <c r="R138" s="8">
        <v>34.984999999999999</v>
      </c>
      <c r="S138" s="8">
        <v>0</v>
      </c>
      <c r="BA138" s="56">
        <v>39934</v>
      </c>
      <c r="BB138" s="65">
        <v>51.481999999999999</v>
      </c>
      <c r="BC138" s="65">
        <v>0</v>
      </c>
      <c r="BD138" s="65"/>
      <c r="BE138" s="65"/>
    </row>
    <row r="139" spans="17:57" x14ac:dyDescent="0.25">
      <c r="Q139" s="56">
        <v>39965</v>
      </c>
      <c r="R139" s="8">
        <v>288.42</v>
      </c>
      <c r="S139" s="8">
        <v>0</v>
      </c>
      <c r="BA139" s="56">
        <v>39965</v>
      </c>
      <c r="BB139" s="65">
        <v>38.950000000000003</v>
      </c>
      <c r="BC139" s="65">
        <v>0</v>
      </c>
      <c r="BD139" s="65"/>
      <c r="BE139" s="65"/>
    </row>
    <row r="140" spans="17:57" x14ac:dyDescent="0.25">
      <c r="Q140" s="56">
        <v>39995</v>
      </c>
      <c r="R140" s="8">
        <v>526.6</v>
      </c>
      <c r="S140" s="8">
        <v>94.391999999999996</v>
      </c>
      <c r="BA140" s="56">
        <v>39995</v>
      </c>
      <c r="BB140" s="65">
        <v>56.125</v>
      </c>
      <c r="BC140" s="65">
        <v>13.157999999999999</v>
      </c>
      <c r="BD140" s="65"/>
      <c r="BE140" s="65"/>
    </row>
    <row r="141" spans="17:57" x14ac:dyDescent="0.25">
      <c r="Q141" s="56">
        <v>40026</v>
      </c>
      <c r="R141" s="8">
        <v>320.25</v>
      </c>
      <c r="S141" s="8">
        <v>111.32</v>
      </c>
      <c r="BA141" s="56">
        <v>40026</v>
      </c>
      <c r="BB141" s="65">
        <v>163.81</v>
      </c>
      <c r="BC141" s="65">
        <v>29.143000000000001</v>
      </c>
      <c r="BD141" s="65"/>
      <c r="BE141" s="65"/>
    </row>
    <row r="142" spans="17:57" x14ac:dyDescent="0.25">
      <c r="Q142" s="56">
        <v>40057</v>
      </c>
      <c r="R142" s="8">
        <v>22.378</v>
      </c>
      <c r="S142" s="8">
        <v>34.67</v>
      </c>
      <c r="BA142" s="56">
        <v>40057</v>
      </c>
      <c r="BB142" s="65">
        <v>164.16</v>
      </c>
      <c r="BC142" s="65">
        <v>111.84</v>
      </c>
      <c r="BD142" s="65"/>
      <c r="BE142" s="65"/>
    </row>
    <row r="143" spans="17:57" x14ac:dyDescent="0.25">
      <c r="Q143" s="56">
        <v>40087</v>
      </c>
      <c r="R143" s="8">
        <v>61.180999999999997</v>
      </c>
      <c r="S143" s="8">
        <v>0</v>
      </c>
      <c r="BA143" s="56">
        <v>40087</v>
      </c>
      <c r="BB143" s="65">
        <v>189.77</v>
      </c>
      <c r="BC143" s="65">
        <v>0</v>
      </c>
      <c r="BD143" s="65"/>
      <c r="BE143" s="65"/>
    </row>
    <row r="144" spans="17:57" x14ac:dyDescent="0.25">
      <c r="Q144" s="56">
        <v>40118</v>
      </c>
      <c r="R144" s="8">
        <v>0</v>
      </c>
      <c r="S144" s="8">
        <v>0</v>
      </c>
      <c r="T144" s="56">
        <f>Q144</f>
        <v>40118</v>
      </c>
      <c r="U144" s="8">
        <f>SUM(R140:R148)</f>
        <v>930.40900923990012</v>
      </c>
      <c r="V144" s="8">
        <f>SUM(S132:S143)</f>
        <v>290.637</v>
      </c>
      <c r="BA144" s="56">
        <v>40118</v>
      </c>
      <c r="BB144" s="65">
        <v>202.5</v>
      </c>
      <c r="BC144" s="65">
        <v>8.8483999999999998</v>
      </c>
      <c r="BD144" s="65">
        <f>SUM(BB140:BB148)</f>
        <v>1733.7249999999999</v>
      </c>
      <c r="BE144" s="65">
        <f>SUM(BC132:BC143)</f>
        <v>154.14100000000002</v>
      </c>
    </row>
    <row r="145" spans="17:57" x14ac:dyDescent="0.25">
      <c r="Q145" s="56">
        <v>40148</v>
      </c>
      <c r="R145" s="8">
        <v>3.817E-6</v>
      </c>
      <c r="S145" s="8">
        <v>141.09</v>
      </c>
      <c r="BA145" s="56">
        <v>40148</v>
      </c>
      <c r="BB145" s="65">
        <v>369.31</v>
      </c>
      <c r="BC145" s="65">
        <v>69.409000000000006</v>
      </c>
      <c r="BD145" s="65"/>
      <c r="BE145" s="65"/>
    </row>
    <row r="146" spans="17:57" x14ac:dyDescent="0.25">
      <c r="Q146" s="56">
        <v>40179</v>
      </c>
      <c r="R146" s="8">
        <v>5.4229000000000002E-6</v>
      </c>
      <c r="S146" s="8">
        <v>17.992000000000001</v>
      </c>
      <c r="BA146" s="56">
        <v>40179</v>
      </c>
      <c r="BB146" s="65">
        <v>128.99</v>
      </c>
      <c r="BC146" s="65">
        <v>2.7549000000000001</v>
      </c>
      <c r="BD146" s="65"/>
      <c r="BE146" s="65"/>
    </row>
    <row r="147" spans="17:57" x14ac:dyDescent="0.25">
      <c r="Q147" s="56">
        <v>40210</v>
      </c>
      <c r="R147" s="8">
        <v>0</v>
      </c>
      <c r="S147" s="8">
        <v>0</v>
      </c>
      <c r="BA147" s="56">
        <v>40210</v>
      </c>
      <c r="BB147" s="65">
        <v>218.12</v>
      </c>
      <c r="BC147" s="65">
        <v>0</v>
      </c>
      <c r="BD147" s="65"/>
      <c r="BE147" s="65"/>
    </row>
    <row r="148" spans="17:57" x14ac:dyDescent="0.25">
      <c r="Q148" s="56">
        <v>40238</v>
      </c>
      <c r="R148" s="8">
        <v>0</v>
      </c>
      <c r="S148" s="8">
        <v>0</v>
      </c>
      <c r="BA148" s="56">
        <v>40238</v>
      </c>
      <c r="BB148" s="65">
        <v>240.94</v>
      </c>
      <c r="BC148" s="65">
        <v>0</v>
      </c>
      <c r="BD148" s="65"/>
      <c r="BE148" s="65"/>
    </row>
    <row r="149" spans="17:57" x14ac:dyDescent="0.25">
      <c r="Q149" s="56">
        <v>40269</v>
      </c>
      <c r="R149" s="8">
        <v>0</v>
      </c>
      <c r="S149" s="8">
        <v>0</v>
      </c>
      <c r="BA149" s="56">
        <v>40269</v>
      </c>
      <c r="BB149" s="65">
        <v>3.7713000000000001</v>
      </c>
      <c r="BC149" s="65">
        <v>0</v>
      </c>
      <c r="BD149" s="65"/>
      <c r="BE149" s="65"/>
    </row>
    <row r="150" spans="17:57" x14ac:dyDescent="0.25">
      <c r="Q150" s="56">
        <v>40299</v>
      </c>
      <c r="R150" s="8">
        <v>0.59292</v>
      </c>
      <c r="S150" s="8">
        <v>0</v>
      </c>
      <c r="BA150" s="56">
        <v>40299</v>
      </c>
      <c r="BB150" s="65">
        <v>22.99</v>
      </c>
      <c r="BC150" s="65">
        <v>0</v>
      </c>
      <c r="BD150" s="65"/>
      <c r="BE150" s="65"/>
    </row>
    <row r="151" spans="17:57" x14ac:dyDescent="0.25">
      <c r="Q151" s="56">
        <v>40330</v>
      </c>
      <c r="R151" s="8">
        <v>0.48759000000000002</v>
      </c>
      <c r="S151" s="8">
        <v>0</v>
      </c>
      <c r="BA151" s="56">
        <v>40330</v>
      </c>
      <c r="BB151" s="65">
        <v>21.117999999999999</v>
      </c>
      <c r="BC151" s="65">
        <v>0</v>
      </c>
      <c r="BD151" s="65"/>
      <c r="BE151" s="65"/>
    </row>
    <row r="152" spans="17:57" x14ac:dyDescent="0.25">
      <c r="Q152" s="56">
        <v>40360</v>
      </c>
      <c r="R152" s="8">
        <v>0.4289</v>
      </c>
      <c r="S152" s="8">
        <v>523.79</v>
      </c>
      <c r="BA152" s="56">
        <v>40360</v>
      </c>
      <c r="BB152" s="65">
        <v>37.594000000000001</v>
      </c>
      <c r="BC152" s="65">
        <v>6.8536000000000001</v>
      </c>
      <c r="BD152" s="65"/>
      <c r="BE152" s="65"/>
    </row>
    <row r="153" spans="17:57" x14ac:dyDescent="0.25">
      <c r="Q153" s="56">
        <v>40391</v>
      </c>
      <c r="R153" s="8">
        <v>7.6608999999999998</v>
      </c>
      <c r="S153" s="8">
        <v>43.369</v>
      </c>
      <c r="BA153" s="56">
        <v>40391</v>
      </c>
      <c r="BB153" s="65">
        <v>0</v>
      </c>
      <c r="BC153" s="65">
        <v>0</v>
      </c>
      <c r="BD153" s="65"/>
      <c r="BE153" s="65"/>
    </row>
    <row r="154" spans="17:57" x14ac:dyDescent="0.25">
      <c r="Q154" s="56">
        <v>40422</v>
      </c>
      <c r="R154" s="8">
        <v>5.7293000000000003</v>
      </c>
      <c r="S154" s="8">
        <v>3.6983999999999999</v>
      </c>
      <c r="BA154" s="56">
        <v>40422</v>
      </c>
      <c r="BB154" s="65">
        <v>72.721999999999994</v>
      </c>
      <c r="BC154" s="65">
        <v>0</v>
      </c>
      <c r="BD154" s="65"/>
      <c r="BE154" s="65"/>
    </row>
    <row r="155" spans="17:57" x14ac:dyDescent="0.25">
      <c r="Q155" s="56">
        <v>40452</v>
      </c>
      <c r="R155" s="8">
        <v>35.033000000000001</v>
      </c>
      <c r="S155" s="8">
        <v>0</v>
      </c>
      <c r="BA155" s="56">
        <v>40452</v>
      </c>
      <c r="BB155" s="65">
        <v>12.372999999999999</v>
      </c>
      <c r="BC155" s="65">
        <v>0</v>
      </c>
      <c r="BD155" s="65"/>
      <c r="BE155" s="65"/>
    </row>
    <row r="156" spans="17:57" x14ac:dyDescent="0.25">
      <c r="Q156" s="56">
        <v>40483</v>
      </c>
      <c r="R156" s="8">
        <v>11.596</v>
      </c>
      <c r="S156" s="8">
        <v>0</v>
      </c>
      <c r="T156" s="56">
        <f>Q156</f>
        <v>40483</v>
      </c>
      <c r="U156" s="8">
        <f>SUM(R152:R160)</f>
        <v>1733.6836000000001</v>
      </c>
      <c r="V156" s="8">
        <f>SUM(S144:S155)</f>
        <v>729.93939999999998</v>
      </c>
      <c r="BA156" s="56">
        <v>40483</v>
      </c>
      <c r="BB156" s="65">
        <v>0</v>
      </c>
      <c r="BC156" s="65">
        <v>0</v>
      </c>
      <c r="BD156" s="65">
        <f>SUM(BB152:BB160)</f>
        <v>1084.819</v>
      </c>
      <c r="BE156" s="65">
        <f>SUM(BC144:BC155)</f>
        <v>87.865900000000011</v>
      </c>
    </row>
    <row r="157" spans="17:57" x14ac:dyDescent="0.25">
      <c r="Q157" s="56">
        <v>40513</v>
      </c>
      <c r="R157" s="8">
        <v>9.8055000000000003</v>
      </c>
      <c r="S157" s="8">
        <v>8.6587999999999994</v>
      </c>
      <c r="BA157" s="56">
        <v>40513</v>
      </c>
      <c r="BB157" s="65">
        <v>0</v>
      </c>
      <c r="BC157" s="65">
        <v>0</v>
      </c>
      <c r="BD157" s="65"/>
      <c r="BE157" s="65"/>
    </row>
    <row r="158" spans="17:57" x14ac:dyDescent="0.25">
      <c r="Q158" s="56">
        <v>40544</v>
      </c>
      <c r="R158" s="8">
        <v>335.97</v>
      </c>
      <c r="S158" s="8">
        <v>55.912999999999997</v>
      </c>
      <c r="BA158" s="56">
        <v>40544</v>
      </c>
      <c r="BB158" s="65">
        <v>275.52</v>
      </c>
      <c r="BC158" s="65">
        <v>0</v>
      </c>
      <c r="BD158" s="65"/>
      <c r="BE158" s="65"/>
    </row>
    <row r="159" spans="17:57" x14ac:dyDescent="0.25">
      <c r="Q159" s="56">
        <v>40575</v>
      </c>
      <c r="R159" s="8">
        <v>582.72</v>
      </c>
      <c r="S159" s="8">
        <v>0</v>
      </c>
      <c r="BA159" s="56">
        <v>40575</v>
      </c>
      <c r="BB159" s="65">
        <v>428.6</v>
      </c>
      <c r="BC159" s="65">
        <v>0</v>
      </c>
      <c r="BD159" s="65"/>
      <c r="BE159" s="65"/>
    </row>
    <row r="160" spans="17:57" x14ac:dyDescent="0.25">
      <c r="Q160" s="56">
        <v>40603</v>
      </c>
      <c r="R160" s="8">
        <v>744.74</v>
      </c>
      <c r="S160" s="8">
        <v>0</v>
      </c>
      <c r="BA160" s="56">
        <v>40603</v>
      </c>
      <c r="BB160" s="65">
        <v>258.01</v>
      </c>
      <c r="BC160" s="65">
        <v>0.62238000000000004</v>
      </c>
      <c r="BD160" s="65"/>
      <c r="BE160" s="65"/>
    </row>
    <row r="161" spans="17:57" x14ac:dyDescent="0.25">
      <c r="Q161" s="56">
        <v>40634</v>
      </c>
      <c r="R161" s="8">
        <v>87.543000000000006</v>
      </c>
      <c r="S161" s="8">
        <v>0</v>
      </c>
      <c r="BA161" s="56">
        <v>40634</v>
      </c>
      <c r="BB161" s="65">
        <v>47.709000000000003</v>
      </c>
      <c r="BC161" s="65">
        <v>0</v>
      </c>
      <c r="BD161" s="65"/>
      <c r="BE161" s="65"/>
    </row>
    <row r="162" spans="17:57" x14ac:dyDescent="0.25">
      <c r="Q162" s="56">
        <v>40664</v>
      </c>
      <c r="R162" s="8">
        <v>280.56</v>
      </c>
      <c r="S162" s="8">
        <v>0</v>
      </c>
      <c r="BA162" s="56">
        <v>40664</v>
      </c>
      <c r="BB162" s="65">
        <v>77.572000000000003</v>
      </c>
      <c r="BC162" s="65">
        <v>0</v>
      </c>
      <c r="BD162" s="65"/>
      <c r="BE162" s="65"/>
    </row>
    <row r="163" spans="17:57" x14ac:dyDescent="0.25">
      <c r="Q163" s="56">
        <v>40695</v>
      </c>
      <c r="R163" s="8">
        <v>432.54</v>
      </c>
      <c r="S163" s="8">
        <v>31.783999999999999</v>
      </c>
      <c r="BA163" s="56">
        <v>40695</v>
      </c>
      <c r="BB163" s="65">
        <v>31.193999999999999</v>
      </c>
      <c r="BC163" s="65">
        <v>4.3455000000000004</v>
      </c>
      <c r="BD163" s="65"/>
      <c r="BE163" s="65"/>
    </row>
    <row r="164" spans="17:57" x14ac:dyDescent="0.25">
      <c r="Q164" s="56">
        <v>40725</v>
      </c>
      <c r="R164" s="8">
        <v>985.93</v>
      </c>
      <c r="S164" s="8">
        <v>0</v>
      </c>
      <c r="BA164" s="56">
        <v>40725</v>
      </c>
      <c r="BB164" s="65">
        <v>134</v>
      </c>
      <c r="BC164" s="65">
        <v>0</v>
      </c>
      <c r="BD164" s="65"/>
      <c r="BE164" s="65"/>
    </row>
    <row r="165" spans="17:57" x14ac:dyDescent="0.25">
      <c r="Q165" s="56">
        <v>40756</v>
      </c>
      <c r="R165" s="8">
        <v>437.72</v>
      </c>
      <c r="S165" s="8">
        <v>0</v>
      </c>
      <c r="BA165" s="56">
        <v>40756</v>
      </c>
      <c r="BB165" s="65">
        <v>107.93</v>
      </c>
      <c r="BC165" s="65">
        <v>0</v>
      </c>
      <c r="BD165" s="65"/>
      <c r="BE165" s="65"/>
    </row>
    <row r="166" spans="17:57" x14ac:dyDescent="0.25">
      <c r="Q166" s="56">
        <v>40787</v>
      </c>
      <c r="R166" s="8">
        <v>604.84</v>
      </c>
      <c r="S166" s="8">
        <v>0</v>
      </c>
      <c r="BA166" s="56">
        <v>40787</v>
      </c>
      <c r="BB166" s="65">
        <v>237.01</v>
      </c>
      <c r="BC166" s="65">
        <v>0</v>
      </c>
      <c r="BD166" s="65"/>
      <c r="BE166" s="65"/>
    </row>
    <row r="167" spans="17:57" x14ac:dyDescent="0.25">
      <c r="Q167" s="56">
        <v>40817</v>
      </c>
      <c r="R167" s="8">
        <v>405.71</v>
      </c>
      <c r="S167" s="8">
        <v>0</v>
      </c>
      <c r="BA167" s="56">
        <v>40817</v>
      </c>
      <c r="BB167" s="65">
        <v>0</v>
      </c>
      <c r="BC167" s="65">
        <v>0</v>
      </c>
      <c r="BD167" s="65"/>
      <c r="BE167" s="65"/>
    </row>
    <row r="168" spans="17:57" x14ac:dyDescent="0.25">
      <c r="Q168" s="56">
        <v>40848</v>
      </c>
      <c r="R168" s="8">
        <v>193.73</v>
      </c>
      <c r="S168" s="8">
        <v>98.405000000000001</v>
      </c>
      <c r="T168" s="56">
        <f>Q168</f>
        <v>40848</v>
      </c>
      <c r="U168" s="8">
        <f>SUM(R164:R172)</f>
        <v>3156.893</v>
      </c>
      <c r="V168" s="8">
        <f>SUM(S156:S167)</f>
        <v>96.355799999999988</v>
      </c>
      <c r="BA168" s="56">
        <v>40848</v>
      </c>
      <c r="BB168" s="65">
        <v>41.837000000000003</v>
      </c>
      <c r="BC168" s="65">
        <v>0</v>
      </c>
      <c r="BD168" s="65">
        <f>SUM(BB164:BB172)</f>
        <v>751.76206000000002</v>
      </c>
      <c r="BE168" s="65">
        <f>SUM(BC156:BC167)</f>
        <v>4.9678800000000001</v>
      </c>
    </row>
    <row r="169" spans="17:57" x14ac:dyDescent="0.25">
      <c r="Q169" s="56">
        <v>40878</v>
      </c>
      <c r="R169" s="8">
        <v>31.196000000000002</v>
      </c>
      <c r="S169" s="8">
        <v>20.091999999999999</v>
      </c>
      <c r="BA169" s="56">
        <v>40878</v>
      </c>
      <c r="BB169" s="65">
        <v>0</v>
      </c>
      <c r="BC169" s="65">
        <v>0</v>
      </c>
      <c r="BD169" s="65"/>
      <c r="BE169" s="65"/>
    </row>
    <row r="170" spans="17:57" x14ac:dyDescent="0.25">
      <c r="Q170" s="56">
        <v>40909</v>
      </c>
      <c r="R170" s="8">
        <v>131.09</v>
      </c>
      <c r="S170" s="8">
        <v>0</v>
      </c>
      <c r="BA170" s="56">
        <v>40909</v>
      </c>
      <c r="BB170" s="65">
        <v>165.5</v>
      </c>
      <c r="BC170" s="65">
        <v>0</v>
      </c>
      <c r="BD170" s="65"/>
      <c r="BE170" s="65"/>
    </row>
    <row r="171" spans="17:57" x14ac:dyDescent="0.25">
      <c r="Q171" s="56">
        <v>40940</v>
      </c>
      <c r="R171" s="8">
        <v>38.976999999999997</v>
      </c>
      <c r="S171" s="8">
        <v>107.97</v>
      </c>
      <c r="BA171" s="56">
        <v>40940</v>
      </c>
      <c r="BB171" s="65">
        <v>0.82706000000000002</v>
      </c>
      <c r="BC171" s="65">
        <v>0</v>
      </c>
      <c r="BD171" s="65"/>
      <c r="BE171" s="65"/>
    </row>
    <row r="172" spans="17:57" x14ac:dyDescent="0.25">
      <c r="Q172" s="56">
        <v>40969</v>
      </c>
      <c r="R172" s="8">
        <v>327.7</v>
      </c>
      <c r="S172" s="8">
        <v>114.6</v>
      </c>
      <c r="BA172" s="56">
        <v>40969</v>
      </c>
      <c r="BB172" s="65">
        <v>64.658000000000001</v>
      </c>
      <c r="BC172" s="65">
        <v>0</v>
      </c>
      <c r="BD172" s="65"/>
      <c r="BE172" s="65"/>
    </row>
    <row r="173" spans="17:57" x14ac:dyDescent="0.25">
      <c r="Q173" s="56">
        <v>41000</v>
      </c>
      <c r="R173" s="8">
        <v>69.763999999999996</v>
      </c>
      <c r="S173" s="8">
        <v>0</v>
      </c>
      <c r="BA173" s="56">
        <v>41000</v>
      </c>
      <c r="BB173" s="65">
        <v>46.856999999999999</v>
      </c>
      <c r="BC173" s="65">
        <v>0</v>
      </c>
      <c r="BD173" s="65"/>
      <c r="BE173" s="65"/>
    </row>
    <row r="174" spans="17:57" x14ac:dyDescent="0.25">
      <c r="Q174" s="56">
        <v>41030</v>
      </c>
      <c r="R174" s="8">
        <v>99.668000000000006</v>
      </c>
      <c r="S174" s="8">
        <v>0</v>
      </c>
      <c r="BA174" s="56">
        <v>41030</v>
      </c>
      <c r="BB174" s="65">
        <v>18.559999999999999</v>
      </c>
      <c r="BC174" s="65">
        <v>0</v>
      </c>
      <c r="BD174" s="65"/>
      <c r="BE174" s="65"/>
    </row>
    <row r="175" spans="17:57" x14ac:dyDescent="0.25">
      <c r="Q175" s="56">
        <v>41061</v>
      </c>
      <c r="R175" s="8">
        <v>134.22</v>
      </c>
      <c r="S175" s="8">
        <v>0</v>
      </c>
      <c r="BA175" s="56">
        <v>41061</v>
      </c>
      <c r="BB175" s="65">
        <v>0</v>
      </c>
      <c r="BC175" s="65">
        <v>0</v>
      </c>
      <c r="BD175" s="65"/>
      <c r="BE175" s="65"/>
    </row>
    <row r="176" spans="17:57" x14ac:dyDescent="0.25">
      <c r="Q176" s="56">
        <v>41091</v>
      </c>
      <c r="R176" s="8">
        <v>156.99</v>
      </c>
      <c r="S176" s="8">
        <v>265.69</v>
      </c>
      <c r="BA176" s="56">
        <v>41091</v>
      </c>
      <c r="BB176" s="65">
        <v>22.620999999999999</v>
      </c>
      <c r="BC176" s="65">
        <v>0</v>
      </c>
      <c r="BD176" s="65"/>
      <c r="BE176" s="65"/>
    </row>
    <row r="177" spans="17:57" x14ac:dyDescent="0.25">
      <c r="Q177" s="56">
        <v>41122</v>
      </c>
      <c r="R177" s="8">
        <v>373.3</v>
      </c>
      <c r="S177" s="8">
        <v>0</v>
      </c>
      <c r="BA177" s="56">
        <v>41122</v>
      </c>
      <c r="BB177" s="65">
        <v>59.554000000000002</v>
      </c>
      <c r="BC177" s="65">
        <v>0</v>
      </c>
      <c r="BD177" s="65"/>
      <c r="BE177" s="65"/>
    </row>
    <row r="178" spans="17:57" x14ac:dyDescent="0.25">
      <c r="Q178" s="56">
        <v>41153</v>
      </c>
      <c r="R178" s="8">
        <v>312.18</v>
      </c>
      <c r="S178" s="8">
        <v>0</v>
      </c>
      <c r="BA178" s="56">
        <v>41153</v>
      </c>
      <c r="BB178" s="65">
        <v>263.79000000000002</v>
      </c>
      <c r="BC178" s="65">
        <v>0</v>
      </c>
      <c r="BD178" s="65"/>
      <c r="BE178" s="65"/>
    </row>
    <row r="179" spans="17:57" x14ac:dyDescent="0.25">
      <c r="Q179" s="56">
        <v>41183</v>
      </c>
      <c r="R179" s="8">
        <v>662.85</v>
      </c>
      <c r="S179" s="8">
        <v>0</v>
      </c>
      <c r="BA179" s="56">
        <v>41183</v>
      </c>
      <c r="BB179" s="65">
        <v>207.75</v>
      </c>
      <c r="BC179" s="65">
        <v>0</v>
      </c>
      <c r="BD179" s="65"/>
      <c r="BE179" s="65"/>
    </row>
    <row r="180" spans="17:57" x14ac:dyDescent="0.25">
      <c r="Q180" s="56">
        <v>41214</v>
      </c>
      <c r="R180" s="8">
        <v>732.42</v>
      </c>
      <c r="S180" s="8">
        <v>0</v>
      </c>
      <c r="T180" s="56">
        <f>Q180</f>
        <v>41214</v>
      </c>
      <c r="U180" s="8">
        <f>SUM(R176:R184)</f>
        <v>3777.0200000000004</v>
      </c>
      <c r="V180" s="8">
        <f>SUM(S168:S179)</f>
        <v>606.75700000000006</v>
      </c>
      <c r="BA180" s="56">
        <v>41214</v>
      </c>
      <c r="BB180" s="65">
        <v>228.55</v>
      </c>
      <c r="BC180" s="65">
        <v>0</v>
      </c>
      <c r="BD180" s="65">
        <f>SUM(BB176:BB184)</f>
        <v>1863.2</v>
      </c>
      <c r="BE180" s="65">
        <f>SUM(BC168:BC179)</f>
        <v>0</v>
      </c>
    </row>
    <row r="181" spans="17:57" x14ac:dyDescent="0.25">
      <c r="Q181" s="56">
        <v>41244</v>
      </c>
      <c r="R181" s="8">
        <v>290.73</v>
      </c>
      <c r="S181" s="8">
        <v>0</v>
      </c>
      <c r="BA181" s="56">
        <v>41244</v>
      </c>
      <c r="BB181" s="65">
        <v>381.59</v>
      </c>
      <c r="BC181" s="65">
        <v>0</v>
      </c>
      <c r="BD181" s="65"/>
      <c r="BE181" s="65"/>
    </row>
    <row r="182" spans="17:57" x14ac:dyDescent="0.25">
      <c r="Q182" s="56">
        <v>41275</v>
      </c>
      <c r="R182" s="8">
        <v>702.91</v>
      </c>
      <c r="S182" s="8">
        <v>0</v>
      </c>
      <c r="BA182" s="56">
        <v>41275</v>
      </c>
      <c r="BB182" s="65">
        <v>528.1</v>
      </c>
      <c r="BC182" s="65">
        <v>0</v>
      </c>
      <c r="BD182" s="65"/>
      <c r="BE182" s="65"/>
    </row>
    <row r="183" spans="17:57" x14ac:dyDescent="0.25">
      <c r="Q183" s="56">
        <v>41306</v>
      </c>
      <c r="R183" s="8">
        <v>317.83999999999997</v>
      </c>
      <c r="S183" s="8">
        <v>0</v>
      </c>
      <c r="BA183" s="56">
        <v>41306</v>
      </c>
      <c r="BB183" s="65">
        <v>67.015000000000001</v>
      </c>
      <c r="BC183" s="65">
        <v>0</v>
      </c>
      <c r="BD183" s="65"/>
      <c r="BE183" s="65"/>
    </row>
    <row r="184" spans="17:57" x14ac:dyDescent="0.25">
      <c r="Q184" s="56">
        <v>41334</v>
      </c>
      <c r="R184" s="8">
        <v>227.8</v>
      </c>
      <c r="S184" s="8">
        <v>0</v>
      </c>
      <c r="BA184" s="56">
        <v>41334</v>
      </c>
      <c r="BB184" s="65">
        <v>104.23</v>
      </c>
      <c r="BC184" s="65">
        <v>0</v>
      </c>
      <c r="BD184" s="65"/>
      <c r="BE184" s="65"/>
    </row>
    <row r="185" spans="17:57" x14ac:dyDescent="0.25">
      <c r="Q185" s="56">
        <v>41365</v>
      </c>
      <c r="R185" s="8">
        <v>84.927999999999997</v>
      </c>
      <c r="S185" s="8">
        <v>0</v>
      </c>
      <c r="BA185" s="56">
        <v>41365</v>
      </c>
      <c r="BB185" s="65">
        <v>127.46</v>
      </c>
      <c r="BC185" s="65">
        <v>0</v>
      </c>
      <c r="BD185" s="65"/>
      <c r="BE185" s="65"/>
    </row>
    <row r="186" spans="17:57" x14ac:dyDescent="0.25">
      <c r="Q186" s="56">
        <v>41395</v>
      </c>
      <c r="R186" s="8">
        <v>381.91</v>
      </c>
      <c r="S186" s="8">
        <v>0</v>
      </c>
      <c r="BA186" s="56">
        <v>41395</v>
      </c>
      <c r="BB186" s="65">
        <v>78.539000000000001</v>
      </c>
      <c r="BC186" s="65">
        <v>0</v>
      </c>
      <c r="BD186" s="65"/>
      <c r="BE186" s="65"/>
    </row>
    <row r="187" spans="17:57" x14ac:dyDescent="0.25">
      <c r="Q187" s="56">
        <v>41426</v>
      </c>
      <c r="R187" s="8">
        <v>221.94</v>
      </c>
      <c r="S187" s="8">
        <v>0</v>
      </c>
      <c r="BA187" s="56">
        <v>41426</v>
      </c>
      <c r="BB187" s="65">
        <v>3.3896000000000002</v>
      </c>
      <c r="BC187" s="65">
        <v>0</v>
      </c>
      <c r="BD187" s="65"/>
      <c r="BE187" s="65"/>
    </row>
    <row r="188" spans="17:57" x14ac:dyDescent="0.25">
      <c r="Q188" s="56">
        <v>41456</v>
      </c>
      <c r="R188" s="8">
        <v>493.43</v>
      </c>
      <c r="S188" s="8">
        <v>106.85</v>
      </c>
      <c r="BA188" s="56">
        <v>41456</v>
      </c>
      <c r="BB188" s="65">
        <v>0</v>
      </c>
      <c r="BC188" s="65">
        <v>0</v>
      </c>
      <c r="BD188" s="65"/>
      <c r="BE188" s="65"/>
    </row>
    <row r="189" spans="17:57" x14ac:dyDescent="0.25">
      <c r="Q189" s="56">
        <v>41487</v>
      </c>
      <c r="R189" s="8">
        <v>615.59</v>
      </c>
      <c r="S189" s="8">
        <v>0</v>
      </c>
      <c r="BA189" s="56">
        <v>41487</v>
      </c>
      <c r="BB189" s="65">
        <v>123</v>
      </c>
      <c r="BC189" s="65">
        <v>0</v>
      </c>
      <c r="BD189" s="65"/>
      <c r="BE189" s="65"/>
    </row>
    <row r="190" spans="17:57" x14ac:dyDescent="0.25">
      <c r="Q190" s="56">
        <v>41518</v>
      </c>
      <c r="R190" s="8">
        <v>982.63</v>
      </c>
      <c r="S190" s="8">
        <v>0</v>
      </c>
      <c r="BA190" s="56">
        <v>41518</v>
      </c>
      <c r="BB190" s="65">
        <v>318.02999999999997</v>
      </c>
      <c r="BC190" s="65">
        <v>0</v>
      </c>
      <c r="BD190" s="65"/>
      <c r="BE190" s="65"/>
    </row>
    <row r="191" spans="17:57" x14ac:dyDescent="0.25">
      <c r="Q191" s="56">
        <v>41548</v>
      </c>
      <c r="R191" s="8">
        <v>455.88</v>
      </c>
      <c r="S191" s="8">
        <v>0</v>
      </c>
      <c r="BA191" s="56">
        <v>41548</v>
      </c>
      <c r="BB191" s="65">
        <v>282.67</v>
      </c>
      <c r="BC191" s="65">
        <v>0</v>
      </c>
      <c r="BD191" s="65"/>
      <c r="BE191" s="65"/>
    </row>
    <row r="192" spans="17:57" x14ac:dyDescent="0.25">
      <c r="Q192" s="56">
        <v>41579</v>
      </c>
      <c r="R192" s="8">
        <v>152.88</v>
      </c>
      <c r="S192" s="8">
        <v>136.15</v>
      </c>
      <c r="T192" s="56">
        <f>Q192</f>
        <v>41579</v>
      </c>
      <c r="U192" s="8">
        <f>SUM(R188:R196)</f>
        <v>4568.3</v>
      </c>
      <c r="V192" s="8">
        <f>SUM(S180:S191)</f>
        <v>106.85</v>
      </c>
      <c r="BA192" s="56">
        <v>41579</v>
      </c>
      <c r="BB192" s="65">
        <v>200.16</v>
      </c>
      <c r="BC192" s="65">
        <v>0</v>
      </c>
      <c r="BD192" s="65">
        <f>SUM(BB188:BB196)</f>
        <v>2753.47</v>
      </c>
      <c r="BE192" s="65">
        <f>SUM(BC180:BC191)</f>
        <v>0</v>
      </c>
    </row>
    <row r="193" spans="17:57" x14ac:dyDescent="0.25">
      <c r="Q193" s="56">
        <v>41609</v>
      </c>
      <c r="R193" s="8">
        <v>309.89</v>
      </c>
      <c r="S193" s="8">
        <v>0</v>
      </c>
      <c r="BA193" s="56">
        <v>41609</v>
      </c>
      <c r="BB193" s="65">
        <v>545.03</v>
      </c>
      <c r="BC193" s="65">
        <v>0</v>
      </c>
      <c r="BD193" s="65"/>
      <c r="BE193" s="65"/>
    </row>
    <row r="194" spans="17:57" x14ac:dyDescent="0.25">
      <c r="Q194" s="56">
        <v>41640</v>
      </c>
      <c r="R194" s="8">
        <v>646.05999999999995</v>
      </c>
      <c r="S194" s="8">
        <v>0</v>
      </c>
      <c r="BA194" s="56">
        <v>41640</v>
      </c>
      <c r="BB194" s="65">
        <v>781</v>
      </c>
      <c r="BC194" s="65">
        <v>0</v>
      </c>
      <c r="BD194" s="65"/>
      <c r="BE194" s="65"/>
    </row>
    <row r="195" spans="17:57" x14ac:dyDescent="0.25">
      <c r="Q195" s="56">
        <v>41671</v>
      </c>
      <c r="R195" s="8">
        <v>600.91</v>
      </c>
      <c r="S195" s="8">
        <v>0</v>
      </c>
      <c r="BA195" s="56">
        <v>41671</v>
      </c>
      <c r="BB195" s="65">
        <v>362.69</v>
      </c>
      <c r="BC195" s="65">
        <v>0</v>
      </c>
      <c r="BD195" s="65"/>
      <c r="BE195" s="65"/>
    </row>
    <row r="196" spans="17:57" x14ac:dyDescent="0.25">
      <c r="Q196" s="56">
        <v>41699</v>
      </c>
      <c r="R196" s="8">
        <v>311.02999999999997</v>
      </c>
      <c r="S196" s="8">
        <v>0</v>
      </c>
      <c r="BA196" s="56">
        <v>41699</v>
      </c>
      <c r="BB196" s="65">
        <v>140.88999999999999</v>
      </c>
      <c r="BC196" s="65">
        <v>5.3368000000000002</v>
      </c>
      <c r="BD196" s="65"/>
      <c r="BE196" s="65"/>
    </row>
    <row r="197" spans="17:57" x14ac:dyDescent="0.25">
      <c r="Q197" s="56">
        <v>41730</v>
      </c>
      <c r="R197" s="8">
        <v>0</v>
      </c>
      <c r="S197" s="8">
        <v>0</v>
      </c>
      <c r="BA197" s="56">
        <v>41730</v>
      </c>
      <c r="BB197" s="65">
        <v>0</v>
      </c>
      <c r="BC197" s="65">
        <v>0</v>
      </c>
      <c r="BD197" s="65"/>
      <c r="BE197" s="65"/>
    </row>
    <row r="198" spans="17:57" x14ac:dyDescent="0.25">
      <c r="Q198" s="56">
        <v>41760</v>
      </c>
      <c r="R198" s="8">
        <v>36.338000000000001</v>
      </c>
      <c r="S198" s="8">
        <v>0</v>
      </c>
      <c r="BA198" s="56">
        <v>41760</v>
      </c>
      <c r="BB198" s="65">
        <v>0</v>
      </c>
      <c r="BC198" s="65">
        <v>0</v>
      </c>
      <c r="BD198" s="65"/>
      <c r="BE198" s="65"/>
    </row>
    <row r="199" spans="17:57" x14ac:dyDescent="0.25">
      <c r="Q199" s="56">
        <v>41791</v>
      </c>
      <c r="R199" s="8">
        <v>80.316999999999993</v>
      </c>
      <c r="S199" s="65">
        <v>0</v>
      </c>
      <c r="BA199" s="56">
        <v>41791</v>
      </c>
      <c r="BB199" s="65">
        <v>11.199</v>
      </c>
      <c r="BC199" s="65">
        <v>0</v>
      </c>
      <c r="BD199" s="65"/>
      <c r="BE199" s="6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196"/>
  <sheetViews>
    <sheetView tabSelected="1" topLeftCell="BJ1" workbookViewId="0">
      <selection activeCell="BX18" sqref="BX18"/>
    </sheetView>
  </sheetViews>
  <sheetFormatPr defaultRowHeight="15" x14ac:dyDescent="0.25"/>
  <cols>
    <col min="31" max="31" width="3.5703125" customWidth="1"/>
    <col min="39" max="40" width="11" bestFit="1" customWidth="1"/>
    <col min="41" max="42" width="9.28515625" bestFit="1" customWidth="1"/>
    <col min="44" max="45" width="11" bestFit="1" customWidth="1"/>
    <col min="47" max="48" width="12" bestFit="1" customWidth="1"/>
    <col min="49" max="49" width="9.28515625" bestFit="1" customWidth="1"/>
    <col min="51" max="51" width="11" bestFit="1" customWidth="1"/>
    <col min="52" max="52" width="12" bestFit="1" customWidth="1"/>
    <col min="53" max="54" width="9.28515625" bestFit="1" customWidth="1"/>
    <col min="59" max="59" width="11" bestFit="1" customWidth="1"/>
    <col min="60" max="60" width="12" bestFit="1" customWidth="1"/>
    <col min="61" max="63" width="9.28515625" bestFit="1" customWidth="1"/>
    <col min="72" max="72" width="11" bestFit="1" customWidth="1"/>
    <col min="73" max="73" width="12" bestFit="1" customWidth="1"/>
    <col min="74" max="75" width="9.28515625" bestFit="1" customWidth="1"/>
    <col min="85" max="86" width="11" bestFit="1" customWidth="1"/>
    <col min="87" max="87" width="9.28515625" bestFit="1" customWidth="1"/>
    <col min="89" max="90" width="11" bestFit="1" customWidth="1"/>
    <col min="91" max="92" width="9.28515625" bestFit="1" customWidth="1"/>
    <col min="101" max="103" width="9.140625" customWidth="1"/>
    <col min="111" max="111" width="11" bestFit="1" customWidth="1"/>
    <col min="112" max="112" width="12" bestFit="1" customWidth="1"/>
    <col min="113" max="114" width="9.28515625" bestFit="1" customWidth="1"/>
    <col min="121" max="121" width="11" bestFit="1" customWidth="1"/>
    <col min="122" max="122" width="12" bestFit="1" customWidth="1"/>
    <col min="123" max="123" width="11" bestFit="1" customWidth="1"/>
    <col min="124" max="124" width="12" bestFit="1" customWidth="1"/>
    <col min="125" max="126" width="9.28515625" bestFit="1" customWidth="1"/>
    <col min="176" max="176" width="12" bestFit="1" customWidth="1"/>
    <col min="177" max="178" width="9.28515625" bestFit="1" customWidth="1"/>
    <col min="180" max="180" width="12" bestFit="1" customWidth="1"/>
    <col min="181" max="181" width="9.28515625" bestFit="1" customWidth="1"/>
    <col min="183" max="184" width="12" bestFit="1" customWidth="1"/>
    <col min="185" max="186" width="9.42578125" bestFit="1" customWidth="1"/>
    <col min="187" max="187" width="9.28515625" bestFit="1" customWidth="1"/>
    <col min="188" max="188" width="12.140625" bestFit="1" customWidth="1"/>
    <col min="189" max="190" width="9.28515625" bestFit="1" customWidth="1"/>
    <col min="196" max="196" width="12" bestFit="1" customWidth="1"/>
    <col min="197" max="199" width="9.28515625" bestFit="1" customWidth="1"/>
    <col min="204" max="204" width="12" bestFit="1" customWidth="1"/>
    <col min="205" max="205" width="9.28515625" bestFit="1" customWidth="1"/>
    <col min="207" max="207" width="12" bestFit="1" customWidth="1"/>
    <col min="208" max="209" width="9.28515625" bestFit="1" customWidth="1"/>
    <col min="214" max="214" width="12" bestFit="1" customWidth="1"/>
    <col min="215" max="217" width="9.28515625" bestFit="1" customWidth="1"/>
  </cols>
  <sheetData>
    <row r="1" spans="1:211" x14ac:dyDescent="0.25">
      <c r="A1" s="23" t="s">
        <v>613</v>
      </c>
      <c r="Y1" t="s">
        <v>208</v>
      </c>
      <c r="Z1" t="s">
        <v>248</v>
      </c>
      <c r="AA1" t="s">
        <v>240</v>
      </c>
      <c r="AB1" t="s">
        <v>241</v>
      </c>
      <c r="AC1" t="s">
        <v>242</v>
      </c>
      <c r="AD1" t="s">
        <v>243</v>
      </c>
      <c r="BS1" t="s">
        <v>300</v>
      </c>
      <c r="CQ1" t="s">
        <v>207</v>
      </c>
      <c r="CR1" t="s">
        <v>207</v>
      </c>
      <c r="CS1" t="s">
        <v>248</v>
      </c>
      <c r="CT1" t="s">
        <v>301</v>
      </c>
      <c r="CU1" t="s">
        <v>302</v>
      </c>
      <c r="CV1" t="s">
        <v>303</v>
      </c>
      <c r="EB1" t="s">
        <v>207</v>
      </c>
      <c r="EC1" s="2" t="s">
        <v>1</v>
      </c>
      <c r="ED1" s="2" t="s">
        <v>2</v>
      </c>
      <c r="EE1" s="2" t="s">
        <v>3</v>
      </c>
      <c r="EF1" s="2" t="s">
        <v>4</v>
      </c>
      <c r="EG1" s="2" t="s">
        <v>5</v>
      </c>
      <c r="EH1" s="2" t="s">
        <v>6</v>
      </c>
      <c r="EI1" s="2" t="s">
        <v>7</v>
      </c>
      <c r="EJ1" s="2" t="s">
        <v>8</v>
      </c>
      <c r="EK1" s="2" t="s">
        <v>9</v>
      </c>
      <c r="EL1" s="2" t="s">
        <v>10</v>
      </c>
      <c r="EM1" s="2" t="s">
        <v>11</v>
      </c>
      <c r="EN1" s="2" t="s">
        <v>12</v>
      </c>
      <c r="EO1" s="2" t="s">
        <v>123</v>
      </c>
      <c r="EP1" s="2" t="s">
        <v>419</v>
      </c>
      <c r="ER1" t="s">
        <v>344</v>
      </c>
      <c r="ET1" s="2" t="s">
        <v>1</v>
      </c>
      <c r="EU1" s="2" t="s">
        <v>2</v>
      </c>
      <c r="EV1" s="2" t="s">
        <v>3</v>
      </c>
      <c r="EW1" s="2" t="s">
        <v>4</v>
      </c>
      <c r="EX1" s="2" t="s">
        <v>5</v>
      </c>
      <c r="EY1" s="2" t="s">
        <v>6</v>
      </c>
      <c r="EZ1" s="2" t="s">
        <v>7</v>
      </c>
      <c r="FA1" s="2" t="s">
        <v>8</v>
      </c>
      <c r="FB1" s="2" t="s">
        <v>9</v>
      </c>
      <c r="FC1" s="2" t="s">
        <v>10</v>
      </c>
      <c r="FD1" s="2" t="s">
        <v>11</v>
      </c>
      <c r="FE1" s="2" t="s">
        <v>12</v>
      </c>
      <c r="FF1" s="2" t="s">
        <v>123</v>
      </c>
      <c r="FG1" s="2" t="s">
        <v>410</v>
      </c>
      <c r="FH1" t="s">
        <v>212</v>
      </c>
      <c r="FI1" t="s">
        <v>229</v>
      </c>
      <c r="FJ1" s="2" t="s">
        <v>271</v>
      </c>
      <c r="FK1" s="2" t="s">
        <v>272</v>
      </c>
      <c r="FL1" t="s">
        <v>144</v>
      </c>
      <c r="FM1" t="s">
        <v>352</v>
      </c>
      <c r="FN1" t="s">
        <v>212</v>
      </c>
      <c r="FO1" t="s">
        <v>271</v>
      </c>
      <c r="FP1" t="s">
        <v>346</v>
      </c>
      <c r="FQ1" t="s">
        <v>144</v>
      </c>
      <c r="FR1" t="s">
        <v>352</v>
      </c>
    </row>
    <row r="2" spans="1:211" x14ac:dyDescent="0.25">
      <c r="A2" s="1"/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Y2" t="s">
        <v>212</v>
      </c>
      <c r="Z2" t="s">
        <v>229</v>
      </c>
      <c r="AA2" t="s">
        <v>244</v>
      </c>
      <c r="AB2" t="s">
        <v>245</v>
      </c>
      <c r="AC2" t="s">
        <v>246</v>
      </c>
      <c r="AD2" t="s">
        <v>247</v>
      </c>
      <c r="AF2" t="s">
        <v>249</v>
      </c>
      <c r="AG2" t="s">
        <v>250</v>
      </c>
      <c r="AH2" t="s">
        <v>251</v>
      </c>
      <c r="AI2" t="s">
        <v>144</v>
      </c>
      <c r="AJ2" t="s">
        <v>252</v>
      </c>
      <c r="AL2" t="s">
        <v>249</v>
      </c>
      <c r="AM2" t="s">
        <v>250</v>
      </c>
      <c r="AN2" t="s">
        <v>251</v>
      </c>
      <c r="AO2" t="s">
        <v>144</v>
      </c>
      <c r="AP2" t="s">
        <v>153</v>
      </c>
      <c r="AQ2" t="s">
        <v>254</v>
      </c>
      <c r="AR2" t="s">
        <v>254</v>
      </c>
      <c r="AS2" t="s">
        <v>264</v>
      </c>
      <c r="AT2" t="s">
        <v>265</v>
      </c>
      <c r="AU2" t="s">
        <v>267</v>
      </c>
      <c r="AV2" t="s">
        <v>266</v>
      </c>
      <c r="AX2" t="str">
        <f>AL2</f>
        <v>Plant Oct</v>
      </c>
      <c r="AY2" t="str">
        <f t="shared" ref="AY2:BA2" si="0">AM2</f>
        <v>GS on-all</v>
      </c>
      <c r="AZ2" t="str">
        <f t="shared" si="0"/>
        <v>GS off-all</v>
      </c>
      <c r="BA2" t="str">
        <f t="shared" si="0"/>
        <v>FPH</v>
      </c>
      <c r="BB2" t="s">
        <v>268</v>
      </c>
      <c r="BC2" t="str">
        <f>AX2</f>
        <v>Plant Oct</v>
      </c>
      <c r="BD2" t="s">
        <v>269</v>
      </c>
      <c r="BE2" t="s">
        <v>238</v>
      </c>
      <c r="BI2" t="str">
        <f t="shared" ref="BI2:BI17" si="1">AX2</f>
        <v>Plant Oct</v>
      </c>
      <c r="BJ2" t="str">
        <f t="shared" ref="BJ2:BJ17" si="2">AY2</f>
        <v>GS on-all</v>
      </c>
      <c r="BK2" t="str">
        <f t="shared" ref="BK2:BK17" si="3">AZ2</f>
        <v>GS off-all</v>
      </c>
      <c r="BL2" t="str">
        <f>BB2</f>
        <v>SW ha t-1</v>
      </c>
      <c r="BM2" t="str">
        <f t="shared" ref="BM2:BM17" si="4">BA2</f>
        <v>FPH</v>
      </c>
      <c r="BN2" t="str">
        <f>BI2</f>
        <v>Plant Oct</v>
      </c>
      <c r="BO2" t="str">
        <f t="shared" ref="BO2:BO17" si="5">BD2</f>
        <v>SW ha</v>
      </c>
      <c r="BP2" t="s">
        <v>273</v>
      </c>
      <c r="BQ2" t="s">
        <v>274</v>
      </c>
      <c r="BS2" t="str">
        <f>AX2</f>
        <v>Plant Oct</v>
      </c>
      <c r="BT2" t="str">
        <f t="shared" ref="BT2:BV17" si="6">AY2</f>
        <v>GS on-all</v>
      </c>
      <c r="BU2" t="str">
        <f t="shared" si="6"/>
        <v>GS off-all</v>
      </c>
      <c r="BV2" t="str">
        <f t="shared" si="6"/>
        <v>FPH</v>
      </c>
      <c r="BW2" t="s">
        <v>568</v>
      </c>
      <c r="BY2" t="str">
        <f>BD2</f>
        <v>SW ha</v>
      </c>
      <c r="BZ2" t="s">
        <v>74</v>
      </c>
      <c r="CF2" t="str">
        <f>BS2</f>
        <v>Plant Oct</v>
      </c>
      <c r="CG2" t="str">
        <f t="shared" ref="CG2:CL2" si="7">BT2</f>
        <v>GS on-all</v>
      </c>
      <c r="CH2" t="str">
        <f t="shared" si="7"/>
        <v>GS off-all</v>
      </c>
      <c r="CI2" t="str">
        <f t="shared" si="7"/>
        <v>FPH</v>
      </c>
      <c r="CJ2" t="str">
        <f t="shared" si="7"/>
        <v>2004 var</v>
      </c>
      <c r="CL2" t="str">
        <f t="shared" si="7"/>
        <v>SW ha</v>
      </c>
      <c r="CM2" t="s">
        <v>74</v>
      </c>
      <c r="CR2" t="s">
        <v>212</v>
      </c>
      <c r="CS2" t="s">
        <v>229</v>
      </c>
      <c r="CT2" t="s">
        <v>304</v>
      </c>
      <c r="CU2" t="s">
        <v>305</v>
      </c>
      <c r="CV2" t="s">
        <v>306</v>
      </c>
      <c r="CW2" t="s">
        <v>413</v>
      </c>
      <c r="CX2" t="s">
        <v>414</v>
      </c>
      <c r="CY2" t="s">
        <v>415</v>
      </c>
      <c r="CZ2" t="s">
        <v>249</v>
      </c>
      <c r="DA2" t="s">
        <v>250</v>
      </c>
      <c r="DB2" t="s">
        <v>251</v>
      </c>
      <c r="DC2" t="s">
        <v>144</v>
      </c>
      <c r="DF2" t="s">
        <v>249</v>
      </c>
      <c r="DG2" t="s">
        <v>250</v>
      </c>
      <c r="DH2" t="s">
        <v>251</v>
      </c>
      <c r="DI2" t="s">
        <v>144</v>
      </c>
      <c r="DK2" t="s">
        <v>307</v>
      </c>
      <c r="DL2" t="s">
        <v>74</v>
      </c>
      <c r="DN2" t="s">
        <v>416</v>
      </c>
      <c r="DO2" t="s">
        <v>417</v>
      </c>
      <c r="DP2" t="s">
        <v>392</v>
      </c>
      <c r="DR2" t="s">
        <v>393</v>
      </c>
      <c r="DS2" t="str">
        <f>DG2</f>
        <v>GS on-all</v>
      </c>
      <c r="DT2" t="s">
        <v>421</v>
      </c>
      <c r="DW2" t="s">
        <v>43</v>
      </c>
      <c r="DX2" t="s">
        <v>393</v>
      </c>
      <c r="DY2" t="s">
        <v>459</v>
      </c>
      <c r="EB2" s="38">
        <v>1999</v>
      </c>
      <c r="EC2" s="11">
        <v>77.894238742781269</v>
      </c>
      <c r="ED2" s="11">
        <v>66.712757424562554</v>
      </c>
      <c r="EE2" s="11">
        <v>76.6074074482231</v>
      </c>
      <c r="EF2" s="11">
        <v>75.301646260077078</v>
      </c>
      <c r="EG2" s="11">
        <v>5.920576134826911</v>
      </c>
      <c r="EH2" s="11">
        <v>71.723868271941512</v>
      </c>
      <c r="EI2" s="11">
        <v>50.723868358282395</v>
      </c>
      <c r="EJ2" s="11">
        <v>48.777366261423367</v>
      </c>
      <c r="EK2" s="11">
        <v>30.328395011493697</v>
      </c>
      <c r="EL2" s="11">
        <v>129.03580229959371</v>
      </c>
      <c r="EM2" s="11">
        <v>97.853909496417259</v>
      </c>
      <c r="EN2" s="11">
        <v>63.190946429845233</v>
      </c>
      <c r="EO2" s="11">
        <v>794.07078213946806</v>
      </c>
      <c r="EP2" s="11">
        <f>SUM(EF2:EM2)</f>
        <v>509.66543209405597</v>
      </c>
      <c r="ES2" s="38">
        <v>1999</v>
      </c>
      <c r="ET2" s="11">
        <v>63.340358836768452</v>
      </c>
      <c r="EU2" s="11">
        <v>46.423318529342858</v>
      </c>
      <c r="EV2" s="11">
        <v>48.617488758446392</v>
      </c>
      <c r="EW2" s="11">
        <v>73.391928189538518</v>
      </c>
      <c r="EX2" s="11">
        <v>11.325560497061554</v>
      </c>
      <c r="EY2" s="11">
        <v>46.680268976185886</v>
      </c>
      <c r="EZ2" s="11">
        <v>53.607174800650419</v>
      </c>
      <c r="FA2" s="11">
        <v>22.286547023619239</v>
      </c>
      <c r="FB2" s="11">
        <v>16.832735390941124</v>
      </c>
      <c r="FC2" s="11">
        <v>75.089686047335917</v>
      </c>
      <c r="FD2" s="11">
        <v>68.066367538520566</v>
      </c>
      <c r="FE2" s="11">
        <v>54.92645744357943</v>
      </c>
      <c r="FF2" s="11">
        <v>580.58789203199035</v>
      </c>
      <c r="FG2" s="11">
        <f>SUM(EW2:FD2)</f>
        <v>367.2802684638533</v>
      </c>
      <c r="FH2">
        <v>1998</v>
      </c>
      <c r="FI2" s="66">
        <v>7</v>
      </c>
      <c r="FJ2" s="8">
        <v>12.31517791748046</v>
      </c>
      <c r="FK2" s="8">
        <v>4886.6076164245605</v>
      </c>
      <c r="FL2" s="8">
        <v>4150.3359375</v>
      </c>
      <c r="FM2" s="8">
        <v>6169.6</v>
      </c>
      <c r="FS2" t="s">
        <v>212</v>
      </c>
      <c r="FT2" t="s">
        <v>271</v>
      </c>
      <c r="FU2" t="s">
        <v>272</v>
      </c>
      <c r="FV2" t="s">
        <v>144</v>
      </c>
      <c r="FW2" t="s">
        <v>73</v>
      </c>
      <c r="FX2" t="s">
        <v>353</v>
      </c>
      <c r="FY2" t="s">
        <v>43</v>
      </c>
      <c r="FZ2" t="s">
        <v>97</v>
      </c>
      <c r="GA2" t="s">
        <v>349</v>
      </c>
      <c r="GF2" t="str">
        <f t="shared" ref="GF2:GF17" si="8">FS2</f>
        <v>Year</v>
      </c>
      <c r="GG2" t="str">
        <f t="shared" ref="GG2:GG17" si="9">FT2</f>
        <v>GS on-alloc</v>
      </c>
      <c r="GH2" t="str">
        <f t="shared" ref="GH2:GH17" si="10">FU2</f>
        <v>GS off-alloc</v>
      </c>
      <c r="GI2" t="str">
        <f t="shared" ref="GI2:GI17" si="11">FW2</f>
        <v>rain</v>
      </c>
      <c r="GJ2" t="str">
        <f>FY2</f>
        <v>Plant in</v>
      </c>
      <c r="GK2" t="str">
        <f>FZ2</f>
        <v>Area</v>
      </c>
      <c r="GM2" t="str">
        <f>FS2</f>
        <v>Year</v>
      </c>
      <c r="GN2" t="str">
        <f>FT2</f>
        <v>GS on-alloc</v>
      </c>
      <c r="GO2" t="str">
        <f>FU2</f>
        <v>GS off-alloc</v>
      </c>
      <c r="GP2" t="str">
        <f>FV2</f>
        <v>FPH</v>
      </c>
      <c r="GQ2" t="str">
        <f>FX2</f>
        <v>BD diversion</v>
      </c>
      <c r="GR2" t="str">
        <f>FY2</f>
        <v>Plant in</v>
      </c>
      <c r="GS2" t="str">
        <f>FZ2</f>
        <v>Area</v>
      </c>
      <c r="GU2" t="str">
        <f>GM2</f>
        <v>Year</v>
      </c>
      <c r="GV2" t="str">
        <f>GN2</f>
        <v>GS on-alloc</v>
      </c>
      <c r="GW2" t="s">
        <v>411</v>
      </c>
      <c r="GX2" t="s">
        <v>412</v>
      </c>
      <c r="GY2" t="s">
        <v>610</v>
      </c>
      <c r="GZ2" t="str">
        <f>GU2</f>
        <v>Year</v>
      </c>
      <c r="HA2" t="str">
        <f>GS2</f>
        <v>Area</v>
      </c>
      <c r="HB2" t="s">
        <v>387</v>
      </c>
      <c r="HC2" t="s">
        <v>611</v>
      </c>
    </row>
    <row r="3" spans="1:211" x14ac:dyDescent="0.25">
      <c r="A3" s="1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O3" s="52" t="s">
        <v>253</v>
      </c>
      <c r="Q3" t="s">
        <v>255</v>
      </c>
      <c r="S3" t="s">
        <v>297</v>
      </c>
      <c r="T3" t="s">
        <v>298</v>
      </c>
      <c r="Y3">
        <v>1998</v>
      </c>
      <c r="Z3">
        <v>7</v>
      </c>
      <c r="AA3" s="8">
        <v>34.946632385253899</v>
      </c>
      <c r="AB3" s="8">
        <v>9325.5358163416313</v>
      </c>
      <c r="AC3" s="8">
        <v>19888.472801208496</v>
      </c>
      <c r="AD3" s="11">
        <v>79.456101700663709</v>
      </c>
      <c r="AL3">
        <v>1999</v>
      </c>
      <c r="AM3" s="8">
        <f>AG18</f>
        <v>27133.193315029152</v>
      </c>
      <c r="AN3" s="8">
        <f t="shared" ref="AN3:AP3" si="12">AH18</f>
        <v>25926.904123574503</v>
      </c>
      <c r="AO3" s="8">
        <f t="shared" si="12"/>
        <v>1535.293945312505</v>
      </c>
      <c r="AP3" s="8">
        <f t="shared" si="12"/>
        <v>53060.097438603654</v>
      </c>
      <c r="AR3" s="11">
        <f t="shared" ref="AR3:AR17" si="13">AQ3</f>
        <v>0</v>
      </c>
      <c r="AS3" s="8">
        <v>36667</v>
      </c>
      <c r="AT3">
        <f t="shared" ref="AT3:AT17" si="14">AU20</f>
        <v>158</v>
      </c>
      <c r="AU3" s="8">
        <f t="shared" ref="AU3:AU17" si="15">IF(AT3&lt;=100,(8316-(63.2*AT3)),2000)</f>
        <v>2000</v>
      </c>
      <c r="AV3" s="8">
        <f>AS3-AU3</f>
        <v>34667</v>
      </c>
      <c r="AX3">
        <f t="shared" ref="AX3:AX17" si="16">AL3</f>
        <v>1999</v>
      </c>
      <c r="AY3" s="8">
        <f t="shared" ref="AY3:AY17" si="17">AM3</f>
        <v>27133.193315029152</v>
      </c>
      <c r="AZ3" s="8">
        <f t="shared" ref="AZ3:AZ17" si="18">AN3</f>
        <v>25926.904123574503</v>
      </c>
      <c r="BA3" s="8">
        <f t="shared" ref="BA3:BA17" si="19">AO3</f>
        <v>1535.293945312505</v>
      </c>
      <c r="BC3">
        <f t="shared" ref="BC3:BC17" si="20">AX3</f>
        <v>1999</v>
      </c>
      <c r="BD3" s="8">
        <f>IF(AV3&gt;0,AV3,0)</f>
        <v>34667</v>
      </c>
      <c r="BE3" s="8">
        <f t="shared" ref="BE3:BE17" si="21">($BA$19*AY3)+($AZ$19*AZ3)+($AY$19*BA3)</f>
        <v>35543.627488552956</v>
      </c>
      <c r="BI3">
        <f t="shared" si="1"/>
        <v>1999</v>
      </c>
      <c r="BJ3" s="8">
        <f t="shared" si="2"/>
        <v>27133.193315029152</v>
      </c>
      <c r="BK3" s="8">
        <f t="shared" si="3"/>
        <v>25926.904123574503</v>
      </c>
      <c r="BL3" s="8"/>
      <c r="BM3" s="8">
        <f t="shared" si="4"/>
        <v>1535.293945312505</v>
      </c>
      <c r="BN3">
        <f t="shared" ref="BN3:BN17" si="22">BI3</f>
        <v>1999</v>
      </c>
      <c r="BO3" s="8">
        <f t="shared" si="5"/>
        <v>34667</v>
      </c>
      <c r="BS3">
        <f t="shared" ref="BS3:BS17" si="23">AX3</f>
        <v>1999</v>
      </c>
      <c r="BT3" s="8">
        <f t="shared" si="6"/>
        <v>27133.193315029152</v>
      </c>
      <c r="BU3" s="8">
        <f t="shared" si="6"/>
        <v>25926.904123574503</v>
      </c>
      <c r="BV3" s="8">
        <f t="shared" si="6"/>
        <v>1535.293945312505</v>
      </c>
      <c r="BW3">
        <v>0</v>
      </c>
      <c r="BX3" s="11">
        <f>BS3</f>
        <v>1999</v>
      </c>
      <c r="BY3" s="8">
        <f t="shared" ref="BY3:BY17" si="24">BD3</f>
        <v>34667</v>
      </c>
      <c r="BZ3" s="8">
        <f>($BW$19*BT3)+($BV$19*BU3)+($BU$19*BV3)+($BT$19*BW3)</f>
        <v>36191.179534572395</v>
      </c>
      <c r="CF3">
        <f t="shared" ref="CF3:CF17" si="25">BS3</f>
        <v>1999</v>
      </c>
      <c r="CG3" s="8">
        <f>AG19</f>
        <v>179201.10995765036</v>
      </c>
      <c r="CH3" s="8">
        <f t="shared" ref="CH3:CI3" si="26">AH19</f>
        <v>25944.381441265352</v>
      </c>
      <c r="CI3" s="8">
        <f t="shared" si="26"/>
        <v>1535.293945312505</v>
      </c>
      <c r="CJ3">
        <f>BW3</f>
        <v>0</v>
      </c>
      <c r="CK3">
        <f>BS3</f>
        <v>1999</v>
      </c>
      <c r="CL3" s="8">
        <f>BY3</f>
        <v>34667</v>
      </c>
      <c r="CR3">
        <v>1998</v>
      </c>
      <c r="CS3">
        <v>7</v>
      </c>
      <c r="CT3" s="11">
        <v>0</v>
      </c>
      <c r="CU3" s="11">
        <v>498.50516128540073</v>
      </c>
      <c r="CV3" s="11">
        <v>546.10046386718795</v>
      </c>
      <c r="CW3" s="8">
        <v>2.9508993687108163</v>
      </c>
      <c r="CX3" s="8">
        <v>3533.0851929853798</v>
      </c>
      <c r="CY3" s="8">
        <v>1903.682666015625</v>
      </c>
      <c r="DF3">
        <v>1999</v>
      </c>
      <c r="DG3" s="8">
        <f>DA18</f>
        <v>20730.640384290651</v>
      </c>
      <c r="DH3" s="8">
        <f t="shared" ref="DH3" si="27">DB18</f>
        <v>4057.7020274506554</v>
      </c>
      <c r="DI3" s="8">
        <f t="shared" ref="DI3" si="28">DC18</f>
        <v>0</v>
      </c>
      <c r="DJ3" s="11">
        <f>DF3</f>
        <v>1999</v>
      </c>
      <c r="DK3" s="8">
        <v>13750</v>
      </c>
      <c r="DL3" s="8">
        <f>($DI$19*DG3)+($DH$19*DH3)+($DG$19*DI3)</f>
        <v>11492.989562594152</v>
      </c>
      <c r="DO3">
        <v>158</v>
      </c>
      <c r="DP3" s="8">
        <f>IF(DO3&lt;100,$DO$20+($DN$23*DO3),$DO$21)</f>
        <v>1000</v>
      </c>
      <c r="DQ3" s="11">
        <v>1999</v>
      </c>
      <c r="DR3" s="8">
        <f>DK3-DP3</f>
        <v>12750</v>
      </c>
      <c r="DS3" s="8">
        <f t="shared" ref="DS3:DS17" si="29">DG3</f>
        <v>20730.640384290651</v>
      </c>
      <c r="DT3" s="8">
        <f>DH3+DI3</f>
        <v>4057.7020274506554</v>
      </c>
      <c r="DU3" s="8">
        <f>EP2-$EP$20</f>
        <v>133.9885016197415</v>
      </c>
      <c r="DW3" s="11">
        <v>1999</v>
      </c>
      <c r="DX3" s="8">
        <f>DR3</f>
        <v>12750</v>
      </c>
      <c r="DY3" s="8">
        <f>($DT$19*DS3)+($DS$19*DT3)</f>
        <v>10066.586582445974</v>
      </c>
      <c r="EB3" s="38">
        <v>2000</v>
      </c>
      <c r="EC3" s="11">
        <v>36.803292227380069</v>
      </c>
      <c r="ED3" s="11">
        <v>37.976543245982732</v>
      </c>
      <c r="EE3" s="11">
        <v>130.130041051794</v>
      </c>
      <c r="EF3" s="11">
        <v>21.62386831040245</v>
      </c>
      <c r="EG3" s="11">
        <v>38.76913573810593</v>
      </c>
      <c r="EH3" s="11">
        <v>19.949382750585738</v>
      </c>
      <c r="EI3" s="11">
        <v>45.095061604378152</v>
      </c>
      <c r="EJ3" s="11">
        <v>35.415226390822923</v>
      </c>
      <c r="EK3" s="11">
        <v>6.714814807161873</v>
      </c>
      <c r="EL3" s="11">
        <v>112.73251044504927</v>
      </c>
      <c r="EM3" s="11">
        <v>205.18765440889837</v>
      </c>
      <c r="EN3" s="11">
        <v>34.118930008185743</v>
      </c>
      <c r="EO3" s="11">
        <v>724.51646098874721</v>
      </c>
      <c r="EP3" s="11">
        <f t="shared" ref="EP3:EP18" si="30">SUM(EF3:EM3)</f>
        <v>485.48765445540471</v>
      </c>
      <c r="ES3" s="38">
        <v>2000</v>
      </c>
      <c r="ET3" s="11">
        <v>31.627354232719661</v>
      </c>
      <c r="EU3" s="11">
        <v>37.444843018536076</v>
      </c>
      <c r="EV3" s="11">
        <v>100.19461870407309</v>
      </c>
      <c r="EW3" s="11">
        <v>38.460089696362417</v>
      </c>
      <c r="EX3" s="11">
        <v>45.229148077857872</v>
      </c>
      <c r="EY3" s="11">
        <v>30.014349792035706</v>
      </c>
      <c r="EZ3" s="11">
        <v>23.262780262215788</v>
      </c>
      <c r="FA3" s="11">
        <v>10.260986529123622</v>
      </c>
      <c r="FB3" s="11">
        <v>1.7349775715526443</v>
      </c>
      <c r="FC3" s="11">
        <v>80.675784808103273</v>
      </c>
      <c r="FD3" s="11">
        <v>213.14125560538116</v>
      </c>
      <c r="FE3" s="11">
        <v>4.8430493262851186</v>
      </c>
      <c r="FF3" s="11">
        <v>616.88923762424656</v>
      </c>
      <c r="FG3" s="11">
        <f t="shared" ref="FG3:FG18" si="31">SUM(EW3:FD3)</f>
        <v>442.77937234263248</v>
      </c>
      <c r="FH3">
        <v>1998</v>
      </c>
      <c r="FI3" s="66">
        <v>8</v>
      </c>
      <c r="FJ3" s="8">
        <v>0</v>
      </c>
      <c r="FK3" s="8">
        <v>0</v>
      </c>
      <c r="FL3" s="8">
        <v>0</v>
      </c>
      <c r="FM3" s="8">
        <v>6180.7</v>
      </c>
      <c r="FS3">
        <f>FN18</f>
        <v>1999</v>
      </c>
      <c r="FT3" s="8">
        <f t="shared" ref="FT3:FV3" si="32">FO18</f>
        <v>12153.087914466862</v>
      </c>
      <c r="FU3" s="8">
        <f t="shared" si="32"/>
        <v>8892.8346087932605</v>
      </c>
      <c r="FV3" s="8">
        <f t="shared" si="32"/>
        <v>789.52392578125</v>
      </c>
      <c r="FW3" s="11">
        <f>FG2-$FG$19</f>
        <v>123.71843785806155</v>
      </c>
      <c r="FX3" s="8">
        <f>FR18</f>
        <v>11229.838599999999</v>
      </c>
      <c r="FY3" s="11">
        <f t="shared" ref="FY3:FY17" si="33">FS3</f>
        <v>1999</v>
      </c>
      <c r="FZ3" s="8">
        <v>4583.333333333333</v>
      </c>
      <c r="GA3" s="8">
        <f t="shared" ref="GA3:GA17" si="34">($FY$19*FT3)+($FX$19*FU3)</f>
        <v>3283.7610488924497</v>
      </c>
      <c r="GF3">
        <f t="shared" si="8"/>
        <v>1999</v>
      </c>
      <c r="GG3" s="8">
        <f t="shared" si="9"/>
        <v>12153.087914466862</v>
      </c>
      <c r="GH3" s="8">
        <f t="shared" si="10"/>
        <v>8892.8346087932605</v>
      </c>
      <c r="GI3" s="8">
        <f t="shared" si="11"/>
        <v>123.71843785806155</v>
      </c>
      <c r="GJ3">
        <f t="shared" ref="GJ3:GJ17" si="35">FY3</f>
        <v>1999</v>
      </c>
      <c r="GK3" s="8">
        <f t="shared" ref="GK3:GK17" si="36">FZ3</f>
        <v>4583.333333333333</v>
      </c>
      <c r="GM3">
        <f t="shared" ref="GM3:GM17" si="37">FS3</f>
        <v>1999</v>
      </c>
      <c r="GN3" s="8">
        <f t="shared" ref="GN3:GN17" si="38">FT3</f>
        <v>12153.087914466862</v>
      </c>
      <c r="GO3" s="8">
        <f t="shared" ref="GO3:GO17" si="39">FU3</f>
        <v>8892.8346087932605</v>
      </c>
      <c r="GP3" s="8">
        <f t="shared" ref="GP3:GP17" si="40">FV3</f>
        <v>789.52392578125</v>
      </c>
      <c r="GQ3" s="8">
        <f t="shared" ref="GQ3:GQ17" si="41">FX3</f>
        <v>11229.838599999999</v>
      </c>
      <c r="GR3">
        <f t="shared" ref="GR3:GR17" si="42">FY3</f>
        <v>1999</v>
      </c>
      <c r="GS3" s="8">
        <f t="shared" ref="GS3:GS17" si="43">FZ3</f>
        <v>4583.333333333333</v>
      </c>
      <c r="GT3" s="8"/>
      <c r="GU3">
        <f t="shared" ref="GU3:GU17" si="44">GM3</f>
        <v>1999</v>
      </c>
      <c r="GV3" s="8">
        <f t="shared" ref="GV3:GV17" si="45">GN3</f>
        <v>12153.087914466862</v>
      </c>
      <c r="GW3" s="8">
        <f>GO3+GP3+GQ3</f>
        <v>20912.197134574511</v>
      </c>
      <c r="GX3" s="11">
        <f>FG2-$FG$19</f>
        <v>123.71843785806155</v>
      </c>
      <c r="GY3">
        <v>0</v>
      </c>
      <c r="GZ3">
        <f>GU3</f>
        <v>1999</v>
      </c>
      <c r="HA3" s="8">
        <f>GS3</f>
        <v>4583.333333333333</v>
      </c>
      <c r="HB3" s="8">
        <f>($HA$19*GV3)+($GZ$19*GW3)+($GY$19*GX3)</f>
        <v>3799.7815620900692</v>
      </c>
      <c r="HC3" s="8">
        <f>($HI$22*GV3)+($HH$22*GW3)+($HG$22*GX3)+($HF$22*GY3)</f>
        <v>3534.5703843497031</v>
      </c>
    </row>
    <row r="4" spans="1:211" x14ac:dyDescent="0.25">
      <c r="A4" s="1">
        <v>1999</v>
      </c>
      <c r="B4" s="3">
        <v>73.748085208649329</v>
      </c>
      <c r="C4" s="3">
        <v>35.712340371152187</v>
      </c>
      <c r="D4" s="3">
        <v>77.692765954200254</v>
      </c>
      <c r="E4" s="3">
        <v>83.258297745724946</v>
      </c>
      <c r="F4" s="3">
        <v>11.039574487158593</v>
      </c>
      <c r="G4" s="3">
        <v>56.657872366397939</v>
      </c>
      <c r="H4" s="3">
        <v>64.180000045451706</v>
      </c>
      <c r="I4" s="3">
        <v>27.481702114673372</v>
      </c>
      <c r="J4" s="3">
        <v>23.165106408139494</v>
      </c>
      <c r="K4" s="3">
        <v>92.215319272305109</v>
      </c>
      <c r="L4" s="3">
        <v>85.411489348715918</v>
      </c>
      <c r="M4" s="3">
        <v>50.015319223606838</v>
      </c>
      <c r="O4" s="11">
        <f>L4+M4+SUM(B5:D5)</f>
        <v>340.80765976195642</v>
      </c>
      <c r="Q4" s="11">
        <f>L4+M4+B5+C5+D5</f>
        <v>340.80765976195642</v>
      </c>
      <c r="S4" s="11">
        <f>B4+C4+D4</f>
        <v>187.15319153400179</v>
      </c>
      <c r="T4" s="11">
        <f>S4-$S$20</f>
        <v>15.891781953516158</v>
      </c>
      <c r="Y4">
        <v>1998</v>
      </c>
      <c r="Z4">
        <v>8</v>
      </c>
      <c r="AA4" s="8">
        <v>155.64447021484369</v>
      </c>
      <c r="AB4" s="8">
        <v>3985.6443881988525</v>
      </c>
      <c r="AC4" s="8">
        <v>17.443359375</v>
      </c>
      <c r="AD4" s="11">
        <v>79.456101700663709</v>
      </c>
      <c r="AF4" t="s">
        <v>345</v>
      </c>
      <c r="AL4">
        <v>2000</v>
      </c>
      <c r="AM4" s="8">
        <f>AG30</f>
        <v>44441.219954250388</v>
      </c>
      <c r="AN4" s="8">
        <f t="shared" ref="AN4:AP4" si="46">AH30</f>
        <v>22072.671673901379</v>
      </c>
      <c r="AO4" s="8">
        <f t="shared" si="46"/>
        <v>0</v>
      </c>
      <c r="AP4" s="8">
        <f t="shared" si="46"/>
        <v>66513.89162815176</v>
      </c>
      <c r="AR4" s="11">
        <f t="shared" si="13"/>
        <v>0</v>
      </c>
      <c r="AS4" s="8">
        <v>37445</v>
      </c>
      <c r="AT4">
        <f t="shared" si="14"/>
        <v>111</v>
      </c>
      <c r="AU4" s="8">
        <f t="shared" si="15"/>
        <v>2000</v>
      </c>
      <c r="AV4" s="8">
        <f t="shared" ref="AV4:AV17" si="47">AS4-AU4</f>
        <v>35445</v>
      </c>
      <c r="AX4">
        <f t="shared" si="16"/>
        <v>2000</v>
      </c>
      <c r="AY4" s="8">
        <f t="shared" si="17"/>
        <v>44441.219954250388</v>
      </c>
      <c r="AZ4" s="8">
        <f t="shared" si="18"/>
        <v>22072.671673901379</v>
      </c>
      <c r="BA4" s="8">
        <f t="shared" si="19"/>
        <v>0</v>
      </c>
      <c r="BB4" s="8">
        <f t="shared" ref="BB4:BB17" si="48">BD3</f>
        <v>34667</v>
      </c>
      <c r="BC4">
        <f t="shared" si="20"/>
        <v>2000</v>
      </c>
      <c r="BD4" s="8">
        <f t="shared" ref="BD4:BD17" si="49">IF(AV4&gt;0,AV4,0)</f>
        <v>35445</v>
      </c>
      <c r="BE4" s="8">
        <f t="shared" si="21"/>
        <v>36113.996454994704</v>
      </c>
      <c r="BI4">
        <f t="shared" si="1"/>
        <v>2000</v>
      </c>
      <c r="BJ4" s="8">
        <f t="shared" si="2"/>
        <v>44441.219954250388</v>
      </c>
      <c r="BK4" s="8">
        <f t="shared" si="3"/>
        <v>22072.671673901379</v>
      </c>
      <c r="BL4" s="8">
        <f t="shared" ref="BL4:BL17" si="50">BB4</f>
        <v>34667</v>
      </c>
      <c r="BM4" s="8">
        <f t="shared" si="4"/>
        <v>0</v>
      </c>
      <c r="BN4">
        <f t="shared" si="22"/>
        <v>2000</v>
      </c>
      <c r="BO4" s="8">
        <f t="shared" si="5"/>
        <v>35445</v>
      </c>
      <c r="BP4" s="8">
        <f>($BM$19*BJ4)+($BL$19*BK4)+($BK$19*BL4)+($BJ$19*BM4)</f>
        <v>38257.048734817945</v>
      </c>
      <c r="BQ4" s="8">
        <f>($BL$25*BJ4)+($BK$25*BK4)+($BJ$25*BL4)</f>
        <v>43620.324785451841</v>
      </c>
      <c r="BS4">
        <f t="shared" si="23"/>
        <v>2000</v>
      </c>
      <c r="BT4" s="8">
        <f t="shared" si="6"/>
        <v>44441.219954250388</v>
      </c>
      <c r="BU4" s="8">
        <f t="shared" si="6"/>
        <v>22072.671673901379</v>
      </c>
      <c r="BV4" s="8">
        <f t="shared" si="6"/>
        <v>0</v>
      </c>
      <c r="BW4">
        <v>0</v>
      </c>
      <c r="BX4" s="11">
        <f t="shared" ref="BX4:BX17" si="51">BS4</f>
        <v>2000</v>
      </c>
      <c r="BY4" s="8">
        <f t="shared" si="24"/>
        <v>35445</v>
      </c>
      <c r="BZ4" s="8">
        <f t="shared" ref="BZ4:BZ17" si="52">($BW$19*BT4)+($BV$19*BU4)+($BU$19*BV4)+($BT$19*BW4)</f>
        <v>36609.036467808161</v>
      </c>
      <c r="CF4">
        <f t="shared" si="25"/>
        <v>2000</v>
      </c>
      <c r="CG4" s="8">
        <f>AG31</f>
        <v>109070.15078013952</v>
      </c>
      <c r="CH4" s="8">
        <f t="shared" ref="CH4:CI4" si="53">AH31</f>
        <v>35168.692962296307</v>
      </c>
      <c r="CI4" s="8">
        <f t="shared" si="53"/>
        <v>0</v>
      </c>
      <c r="CJ4">
        <f t="shared" ref="CJ4:CJ17" si="54">BW4</f>
        <v>0</v>
      </c>
      <c r="CK4">
        <f t="shared" ref="CK4:CK17" si="55">BS4</f>
        <v>2000</v>
      </c>
      <c r="CL4" s="8">
        <f t="shared" ref="CL4:CL17" si="56">BY4</f>
        <v>35445</v>
      </c>
      <c r="CR4">
        <v>1998</v>
      </c>
      <c r="CS4">
        <v>8</v>
      </c>
      <c r="CT4" s="11">
        <v>0</v>
      </c>
      <c r="CU4" s="11">
        <v>0</v>
      </c>
      <c r="CV4" s="11">
        <v>0</v>
      </c>
      <c r="CW4" s="8">
        <v>0.37297019883990312</v>
      </c>
      <c r="CX4" s="8">
        <v>1418.5175022125718</v>
      </c>
      <c r="CY4" s="8">
        <v>17.703027343750001</v>
      </c>
      <c r="DF4">
        <v>2000</v>
      </c>
      <c r="DG4" s="8">
        <f>DA30</f>
        <v>6051.3723209518948</v>
      </c>
      <c r="DH4" s="8">
        <f t="shared" ref="DH4" si="57">DB30</f>
        <v>5333.8593380826132</v>
      </c>
      <c r="DI4" s="8">
        <f t="shared" ref="DI4" si="58">DC30</f>
        <v>4360.4779418945363</v>
      </c>
      <c r="DJ4" s="11">
        <f t="shared" ref="DJ4:DJ17" si="59">DF4</f>
        <v>2000</v>
      </c>
      <c r="DK4" s="8">
        <v>14041.75</v>
      </c>
      <c r="DL4" s="8">
        <f t="shared" ref="DL4:DL17" si="60">($DI$19*DG4)+($DH$19*DH4)+($DG$19*DI4)</f>
        <v>13240.975021176477</v>
      </c>
      <c r="DO4">
        <v>111</v>
      </c>
      <c r="DP4" s="8">
        <f t="shared" ref="DP4:DP17" si="61">IF(DO4&lt;100,$DO$20+($DN$23*DO4),$DO$21)</f>
        <v>1000</v>
      </c>
      <c r="DQ4" s="11">
        <v>2000</v>
      </c>
      <c r="DR4" s="8">
        <f t="shared" ref="DR4:DR17" si="62">DK4-DP4</f>
        <v>13041.75</v>
      </c>
      <c r="DS4" s="8">
        <f t="shared" si="29"/>
        <v>6051.3723209518948</v>
      </c>
      <c r="DT4" s="8">
        <f t="shared" ref="DT4:DT17" si="63">DH4+DI4</f>
        <v>9694.3372799771496</v>
      </c>
      <c r="DU4" s="8">
        <f t="shared" ref="DU4:DU17" si="64">EP3-$EP$20</f>
        <v>109.81072398109023</v>
      </c>
      <c r="DV4" s="8"/>
      <c r="DW4" s="11">
        <v>2000</v>
      </c>
      <c r="DX4" s="8">
        <f t="shared" ref="DX4:DX17" si="65">DR4</f>
        <v>13041.75</v>
      </c>
      <c r="DY4" s="8">
        <f t="shared" ref="DY4:DY17" si="66">($DT$19*DS4)+($DS$19*DT4)</f>
        <v>11124.254743019164</v>
      </c>
      <c r="EB4" s="38">
        <v>2001</v>
      </c>
      <c r="EC4" s="11">
        <v>130.01234582029744</v>
      </c>
      <c r="ED4" s="11">
        <v>80.418518537356533</v>
      </c>
      <c r="EE4" s="11">
        <v>67.371193450174218</v>
      </c>
      <c r="EF4" s="11">
        <v>27.590534908781326</v>
      </c>
      <c r="EG4" s="11">
        <v>38.548559659793057</v>
      </c>
      <c r="EH4" s="11">
        <v>23.662962905664013</v>
      </c>
      <c r="EI4" s="11">
        <v>116.97407409291209</v>
      </c>
      <c r="EJ4" s="11">
        <v>10.485185181653058</v>
      </c>
      <c r="EK4" s="11">
        <v>22.437860119980549</v>
      </c>
      <c r="EL4" s="11">
        <v>53.246913454660174</v>
      </c>
      <c r="EM4" s="11">
        <v>137.09218139020504</v>
      </c>
      <c r="EN4" s="11">
        <v>40.952674975611053</v>
      </c>
      <c r="EO4" s="11">
        <v>748.79300449708865</v>
      </c>
      <c r="EP4" s="11">
        <f t="shared" si="30"/>
        <v>430.03827171364929</v>
      </c>
      <c r="ES4" s="38">
        <v>2001</v>
      </c>
      <c r="ET4" s="11">
        <v>65.923766764824705</v>
      </c>
      <c r="EU4" s="11">
        <v>18.327354234430288</v>
      </c>
      <c r="EV4" s="11">
        <v>36.053363158563862</v>
      </c>
      <c r="EW4" s="11">
        <v>26.244394712918542</v>
      </c>
      <c r="EX4" s="11">
        <v>10.255156919026055</v>
      </c>
      <c r="EY4" s="11">
        <v>35.535426058576782</v>
      </c>
      <c r="EZ4" s="11">
        <v>63.844394752262957</v>
      </c>
      <c r="FA4" s="11">
        <v>3.3282511148752119</v>
      </c>
      <c r="FB4" s="11">
        <v>9.2143497819857743</v>
      </c>
      <c r="FC4" s="11">
        <v>28.896861046419016</v>
      </c>
      <c r="FD4" s="11">
        <v>61.222421398077309</v>
      </c>
      <c r="FE4" s="11">
        <v>14.530493259429932</v>
      </c>
      <c r="FF4" s="11">
        <v>373.37623320139045</v>
      </c>
      <c r="FG4" s="11">
        <f t="shared" si="31"/>
        <v>238.54125578414164</v>
      </c>
      <c r="FH4">
        <v>1998</v>
      </c>
      <c r="FI4" s="66">
        <v>9</v>
      </c>
      <c r="FJ4" s="8">
        <v>0</v>
      </c>
      <c r="FK4" s="8">
        <v>154.0869140625</v>
      </c>
      <c r="FL4" s="8">
        <v>34.8447265625</v>
      </c>
      <c r="FM4" s="8">
        <v>790.96</v>
      </c>
      <c r="FS4">
        <f>FN30</f>
        <v>2000</v>
      </c>
      <c r="FT4" s="8">
        <f t="shared" ref="FT4:FV4" si="67">FO30</f>
        <v>6709.8684773743189</v>
      </c>
      <c r="FU4" s="8">
        <f t="shared" si="67"/>
        <v>7100.6723370552099</v>
      </c>
      <c r="FV4" s="8">
        <f t="shared" si="67"/>
        <v>0</v>
      </c>
      <c r="FW4" s="11">
        <f t="shared" ref="FW4:FW17" si="68">FG3-$FG$19</f>
        <v>199.21754173684073</v>
      </c>
      <c r="FX4" s="8">
        <f>FR30</f>
        <v>6023.0728940000008</v>
      </c>
      <c r="FY4" s="11">
        <f t="shared" si="33"/>
        <v>2000</v>
      </c>
      <c r="FZ4" s="8">
        <v>4680.583333333333</v>
      </c>
      <c r="GA4" s="8">
        <f t="shared" si="34"/>
        <v>2223.9656704092699</v>
      </c>
      <c r="GF4">
        <f t="shared" si="8"/>
        <v>2000</v>
      </c>
      <c r="GG4" s="8">
        <f t="shared" si="9"/>
        <v>6709.8684773743189</v>
      </c>
      <c r="GH4" s="8">
        <f t="shared" si="10"/>
        <v>7100.6723370552099</v>
      </c>
      <c r="GI4" s="8">
        <f t="shared" si="11"/>
        <v>199.21754173684073</v>
      </c>
      <c r="GJ4">
        <f t="shared" si="35"/>
        <v>2000</v>
      </c>
      <c r="GK4" s="8">
        <f t="shared" si="36"/>
        <v>4680.583333333333</v>
      </c>
      <c r="GM4">
        <f t="shared" si="37"/>
        <v>2000</v>
      </c>
      <c r="GN4" s="8">
        <f t="shared" si="38"/>
        <v>6709.8684773743189</v>
      </c>
      <c r="GO4" s="8">
        <f t="shared" si="39"/>
        <v>7100.6723370552099</v>
      </c>
      <c r="GP4" s="8">
        <f t="shared" si="40"/>
        <v>0</v>
      </c>
      <c r="GQ4" s="8">
        <f t="shared" si="41"/>
        <v>6023.0728940000008</v>
      </c>
      <c r="GR4">
        <f t="shared" si="42"/>
        <v>2000</v>
      </c>
      <c r="GS4" s="8">
        <f t="shared" si="43"/>
        <v>4680.583333333333</v>
      </c>
      <c r="GT4" s="8"/>
      <c r="GU4">
        <f t="shared" si="44"/>
        <v>2000</v>
      </c>
      <c r="GV4" s="8">
        <f t="shared" si="45"/>
        <v>6709.8684773743189</v>
      </c>
      <c r="GW4" s="8">
        <f t="shared" ref="GW4:GW17" si="69">GO4+GP4+GQ4</f>
        <v>13123.745231055211</v>
      </c>
      <c r="GX4" s="11">
        <f t="shared" ref="GX4:GX17" si="70">FG3-$FG$19</f>
        <v>199.21754173684073</v>
      </c>
      <c r="GY4">
        <v>1</v>
      </c>
      <c r="GZ4">
        <f>GU4</f>
        <v>2000</v>
      </c>
      <c r="HA4" s="8">
        <f>GS4</f>
        <v>4680.583333333333</v>
      </c>
      <c r="HB4" s="8">
        <f>($HA$19*GV4)+($GZ$19*GW4)+($GY$19*GX4)</f>
        <v>2889.8969988965391</v>
      </c>
      <c r="HC4" s="8">
        <f t="shared" ref="HC4:HC17" si="71">($HI$22*GV4)+($HH$22*GW4)+($HG$22*GX4)+($HF$22*GY4)</f>
        <v>4598.214045104045</v>
      </c>
    </row>
    <row r="5" spans="1:211" x14ac:dyDescent="0.25">
      <c r="A5" s="1">
        <v>2000</v>
      </c>
      <c r="B5" s="3">
        <v>27.861702123601386</v>
      </c>
      <c r="C5" s="3">
        <v>31.155744706823469</v>
      </c>
      <c r="D5" s="3">
        <v>146.36340435920877</v>
      </c>
      <c r="E5" s="3">
        <v>39.530212653951445</v>
      </c>
      <c r="F5" s="3">
        <v>51.352765866543386</v>
      </c>
      <c r="G5" s="3">
        <v>27.625531955475502</v>
      </c>
      <c r="H5" s="3">
        <v>32.491914870891165</v>
      </c>
      <c r="I5" s="3">
        <v>22.128510625311669</v>
      </c>
      <c r="J5" s="3">
        <v>3.0348936167169125</v>
      </c>
      <c r="K5" s="3">
        <v>90.342127666067569</v>
      </c>
      <c r="L5" s="3">
        <v>194.47106388173205</v>
      </c>
      <c r="M5" s="3">
        <v>8.3357447208242217</v>
      </c>
      <c r="O5" s="11">
        <f t="shared" ref="O5:O19" si="72">L5+M5+SUM(B6:D6)</f>
        <v>392.96936171612839</v>
      </c>
      <c r="Q5" s="11">
        <f t="shared" ref="Q5:Q19" si="73">L5+M5+B6+C6+D6</f>
        <v>392.96936171612839</v>
      </c>
      <c r="S5" s="11">
        <f t="shared" ref="S5:S19" si="74">B5+C5+D5</f>
        <v>205.38085118963363</v>
      </c>
      <c r="T5" s="11">
        <f t="shared" ref="T5:T19" si="75">S5-$S$20</f>
        <v>34.119441609147998</v>
      </c>
      <c r="Y5">
        <v>1998</v>
      </c>
      <c r="Z5">
        <v>9</v>
      </c>
      <c r="AA5" s="8">
        <v>2222.2411118745813</v>
      </c>
      <c r="AB5" s="8">
        <v>4531.3703749179822</v>
      </c>
      <c r="AC5" s="8">
        <v>1345.605163574219</v>
      </c>
      <c r="AD5" s="11">
        <v>76.893001645803594</v>
      </c>
      <c r="AL5">
        <v>2001</v>
      </c>
      <c r="AM5" s="8">
        <f>AG42</f>
        <v>53899.288672705887</v>
      </c>
      <c r="AN5" s="8">
        <f t="shared" ref="AN5:AP5" si="76">AH42</f>
        <v>3148.5084991455128</v>
      </c>
      <c r="AO5" s="8">
        <f t="shared" si="76"/>
        <v>44580.016441345251</v>
      </c>
      <c r="AP5" s="8">
        <f t="shared" si="76"/>
        <v>57047.797171851402</v>
      </c>
      <c r="AR5" s="11">
        <f t="shared" si="13"/>
        <v>0</v>
      </c>
      <c r="AS5" s="8">
        <v>33333</v>
      </c>
      <c r="AT5">
        <f t="shared" si="14"/>
        <v>160</v>
      </c>
      <c r="AU5" s="8">
        <f t="shared" si="15"/>
        <v>2000</v>
      </c>
      <c r="AV5" s="8">
        <f t="shared" si="47"/>
        <v>31333</v>
      </c>
      <c r="AX5">
        <f t="shared" si="16"/>
        <v>2001</v>
      </c>
      <c r="AY5" s="8">
        <f t="shared" si="17"/>
        <v>53899.288672705887</v>
      </c>
      <c r="AZ5" s="8">
        <f t="shared" si="18"/>
        <v>3148.5084991455128</v>
      </c>
      <c r="BA5" s="8">
        <f t="shared" si="19"/>
        <v>44580.016441345251</v>
      </c>
      <c r="BB5" s="8">
        <f t="shared" si="48"/>
        <v>35445</v>
      </c>
      <c r="BC5">
        <f t="shared" si="20"/>
        <v>2001</v>
      </c>
      <c r="BD5" s="8">
        <f t="shared" si="49"/>
        <v>31333</v>
      </c>
      <c r="BE5" s="8">
        <f t="shared" si="21"/>
        <v>28447.779873803087</v>
      </c>
      <c r="BI5">
        <f t="shared" si="1"/>
        <v>2001</v>
      </c>
      <c r="BJ5" s="8">
        <f t="shared" si="2"/>
        <v>53899.288672705887</v>
      </c>
      <c r="BK5" s="8">
        <f t="shared" si="3"/>
        <v>3148.5084991455128</v>
      </c>
      <c r="BL5" s="8">
        <f t="shared" si="50"/>
        <v>35445</v>
      </c>
      <c r="BM5" s="8">
        <f t="shared" si="4"/>
        <v>44580.016441345251</v>
      </c>
      <c r="BN5">
        <f t="shared" si="22"/>
        <v>2001</v>
      </c>
      <c r="BO5" s="8">
        <f t="shared" si="5"/>
        <v>31333</v>
      </c>
      <c r="BP5" s="8">
        <f t="shared" ref="BP5:BP17" si="77">($BM$19*BJ5)+($BL$19*BK5)+($BK$19*BL5)+($BJ$19*BM5)</f>
        <v>30190.020825499378</v>
      </c>
      <c r="BQ5" s="8">
        <f t="shared" ref="BQ5:BQ17" si="78">($BL$25*BJ5)+($BK$25*BK5)+($BJ$25*BL5)</f>
        <v>26853.488355601636</v>
      </c>
      <c r="BS5">
        <f t="shared" si="23"/>
        <v>2001</v>
      </c>
      <c r="BT5" s="8">
        <f t="shared" si="6"/>
        <v>53899.288672705887</v>
      </c>
      <c r="BU5" s="8">
        <f t="shared" si="6"/>
        <v>3148.5084991455128</v>
      </c>
      <c r="BV5" s="8">
        <f t="shared" si="6"/>
        <v>44580.016441345251</v>
      </c>
      <c r="BW5">
        <v>0</v>
      </c>
      <c r="BX5" s="11">
        <f t="shared" si="51"/>
        <v>2001</v>
      </c>
      <c r="BY5" s="8">
        <f t="shared" si="24"/>
        <v>31333</v>
      </c>
      <c r="BZ5" s="8">
        <f t="shared" si="52"/>
        <v>27277.317370710334</v>
      </c>
      <c r="CF5">
        <f t="shared" si="25"/>
        <v>2001</v>
      </c>
      <c r="CG5" s="8">
        <f>AG43</f>
        <v>227901.2263323346</v>
      </c>
      <c r="CH5" s="8">
        <f t="shared" ref="CH5:CI5" si="79">AH43</f>
        <v>7921.3117091655786</v>
      </c>
      <c r="CI5" s="8">
        <f t="shared" si="79"/>
        <v>44580.016441345251</v>
      </c>
      <c r="CJ5">
        <f t="shared" si="54"/>
        <v>0</v>
      </c>
      <c r="CK5">
        <f t="shared" si="55"/>
        <v>2001</v>
      </c>
      <c r="CL5" s="8">
        <f t="shared" si="56"/>
        <v>31333</v>
      </c>
      <c r="CR5">
        <v>1998</v>
      </c>
      <c r="CS5">
        <v>9</v>
      </c>
      <c r="CT5" s="11">
        <v>0</v>
      </c>
      <c r="CU5" s="11">
        <v>0</v>
      </c>
      <c r="CV5" s="11">
        <v>0</v>
      </c>
      <c r="CW5" s="8">
        <v>36.179082214832313</v>
      </c>
      <c r="CX5" s="8">
        <v>242.23117675781302</v>
      </c>
      <c r="CY5" s="8">
        <v>420.68598632812501</v>
      </c>
      <c r="DF5">
        <v>2001</v>
      </c>
      <c r="DG5" s="8">
        <f>DA42</f>
        <v>18517.393866464699</v>
      </c>
      <c r="DH5" s="8">
        <f t="shared" ref="DH5" si="80">DB42</f>
        <v>5290.088000957192</v>
      </c>
      <c r="DI5" s="8">
        <f t="shared" ref="DI5" si="81">DC42</f>
        <v>1212.3346801757816</v>
      </c>
      <c r="DJ5" s="11">
        <f t="shared" si="59"/>
        <v>2001</v>
      </c>
      <c r="DK5" s="8">
        <v>12500</v>
      </c>
      <c r="DL5" s="8">
        <f t="shared" si="60"/>
        <v>13653.870184794241</v>
      </c>
      <c r="DO5">
        <v>160</v>
      </c>
      <c r="DP5" s="8">
        <f t="shared" si="61"/>
        <v>1000</v>
      </c>
      <c r="DQ5" s="11">
        <v>2001</v>
      </c>
      <c r="DR5" s="8">
        <f t="shared" si="62"/>
        <v>11500</v>
      </c>
      <c r="DS5" s="8">
        <f t="shared" si="29"/>
        <v>18517.393866464699</v>
      </c>
      <c r="DT5" s="8">
        <f t="shared" si="63"/>
        <v>6502.4226811329736</v>
      </c>
      <c r="DU5" s="8">
        <f t="shared" si="64"/>
        <v>54.36134123933482</v>
      </c>
      <c r="DV5" s="8"/>
      <c r="DW5" s="11">
        <v>2001</v>
      </c>
      <c r="DX5" s="8">
        <f t="shared" si="65"/>
        <v>11500</v>
      </c>
      <c r="DY5" s="8">
        <f t="shared" si="66"/>
        <v>11760.178226866821</v>
      </c>
      <c r="EB5" s="38">
        <v>2002</v>
      </c>
      <c r="EC5" s="11">
        <v>44.480246869624885</v>
      </c>
      <c r="ED5" s="11">
        <v>82.171193299470119</v>
      </c>
      <c r="EE5" s="11">
        <v>60.202057512699334</v>
      </c>
      <c r="EF5" s="11">
        <v>3.9218106885505803</v>
      </c>
      <c r="EG5" s="11">
        <v>3.3860082292752991</v>
      </c>
      <c r="EH5" s="11">
        <v>34.14938272860806</v>
      </c>
      <c r="EI5" s="11">
        <v>0.27983539094650206</v>
      </c>
      <c r="EJ5" s="11">
        <v>9.5308641975308639</v>
      </c>
      <c r="EK5" s="11">
        <v>31.176954732510289</v>
      </c>
      <c r="EL5" s="11">
        <v>12.25925925925926</v>
      </c>
      <c r="EM5" s="11">
        <v>23.65843621399177</v>
      </c>
      <c r="EN5" s="11">
        <v>64.399176954732511</v>
      </c>
      <c r="EO5" s="11">
        <v>369.6152260771994</v>
      </c>
      <c r="EP5" s="11">
        <f t="shared" si="30"/>
        <v>118.36255144067263</v>
      </c>
      <c r="ES5" s="38">
        <v>2002</v>
      </c>
      <c r="ET5" s="11">
        <v>6.8076233329259761</v>
      </c>
      <c r="EU5" s="11">
        <v>62.398206240393122</v>
      </c>
      <c r="EV5" s="11">
        <v>22.945291527718172</v>
      </c>
      <c r="EW5" s="11">
        <v>16.6372196984398</v>
      </c>
      <c r="EX5" s="11">
        <v>1.361883403875368</v>
      </c>
      <c r="EY5" s="11">
        <v>15.681165956060983</v>
      </c>
      <c r="EZ5" s="11">
        <v>8.9686098654708519E-3</v>
      </c>
      <c r="FA5" s="11">
        <v>9.1479820627802688</v>
      </c>
      <c r="FB5" s="11">
        <v>11.32286995515695</v>
      </c>
      <c r="FC5" s="11">
        <v>4.1300448430493271</v>
      </c>
      <c r="FD5" s="11">
        <v>7.4887892376681613</v>
      </c>
      <c r="FE5" s="11">
        <v>33.466367713004487</v>
      </c>
      <c r="FF5" s="11">
        <v>191.39641258093809</v>
      </c>
      <c r="FG5" s="11">
        <f t="shared" si="31"/>
        <v>65.778923766896327</v>
      </c>
      <c r="FH5">
        <v>1998</v>
      </c>
      <c r="FI5" s="66">
        <v>10</v>
      </c>
      <c r="FJ5" s="8">
        <v>0</v>
      </c>
      <c r="FK5" s="8">
        <v>0</v>
      </c>
      <c r="FL5" s="8">
        <v>0</v>
      </c>
      <c r="FM5" s="8">
        <v>2709.3</v>
      </c>
      <c r="FS5">
        <f>FN42</f>
        <v>2001</v>
      </c>
      <c r="FT5" s="8">
        <f t="shared" ref="FT5:FV5" si="82">FO42</f>
        <v>22029.684010505684</v>
      </c>
      <c r="FU5" s="8">
        <f t="shared" si="82"/>
        <v>8190.3694915771484</v>
      </c>
      <c r="FV5" s="8">
        <f t="shared" si="82"/>
        <v>16.703125</v>
      </c>
      <c r="FW5" s="11">
        <f t="shared" si="68"/>
        <v>-5.0205748216501149</v>
      </c>
      <c r="FX5" s="8">
        <f>FR42</f>
        <v>22914.642900000003</v>
      </c>
      <c r="FY5" s="11">
        <f t="shared" si="33"/>
        <v>2001</v>
      </c>
      <c r="FZ5" s="8">
        <v>4166.666666666667</v>
      </c>
      <c r="GA5" s="8">
        <f t="shared" si="34"/>
        <v>4464.9778840260497</v>
      </c>
      <c r="GF5">
        <f t="shared" si="8"/>
        <v>2001</v>
      </c>
      <c r="GG5" s="8">
        <f t="shared" si="9"/>
        <v>22029.684010505684</v>
      </c>
      <c r="GH5" s="8">
        <f t="shared" si="10"/>
        <v>8190.3694915771484</v>
      </c>
      <c r="GI5" s="8">
        <f t="shared" si="11"/>
        <v>-5.0205748216501149</v>
      </c>
      <c r="GJ5">
        <f t="shared" si="35"/>
        <v>2001</v>
      </c>
      <c r="GK5" s="8">
        <f t="shared" si="36"/>
        <v>4166.666666666667</v>
      </c>
      <c r="GM5">
        <f t="shared" si="37"/>
        <v>2001</v>
      </c>
      <c r="GN5" s="8">
        <f t="shared" si="38"/>
        <v>22029.684010505684</v>
      </c>
      <c r="GO5" s="8">
        <f t="shared" si="39"/>
        <v>8190.3694915771484</v>
      </c>
      <c r="GP5" s="8">
        <f t="shared" si="40"/>
        <v>16.703125</v>
      </c>
      <c r="GQ5" s="8">
        <f t="shared" si="41"/>
        <v>22914.642900000003</v>
      </c>
      <c r="GR5">
        <f t="shared" si="42"/>
        <v>2001</v>
      </c>
      <c r="GS5" s="8">
        <f t="shared" si="43"/>
        <v>4166.666666666667</v>
      </c>
      <c r="GT5" s="8"/>
      <c r="GU5">
        <f t="shared" si="44"/>
        <v>2001</v>
      </c>
      <c r="GV5" s="8">
        <f t="shared" si="45"/>
        <v>22029.684010505684</v>
      </c>
      <c r="GW5" s="8">
        <f t="shared" si="69"/>
        <v>31121.715516577151</v>
      </c>
      <c r="GX5" s="11">
        <f t="shared" si="70"/>
        <v>-5.0205748216501149</v>
      </c>
      <c r="GY5">
        <v>0</v>
      </c>
      <c r="GZ5">
        <f>GU5</f>
        <v>2001</v>
      </c>
      <c r="HA5" s="8">
        <f>GS5</f>
        <v>4166.666666666667</v>
      </c>
      <c r="HB5" s="8">
        <f>($HA$19*GV5)+($GZ$19*GW5)+($GY$19*GX5)</f>
        <v>5363.2311207183266</v>
      </c>
      <c r="HC5" s="8">
        <f t="shared" si="71"/>
        <v>5044.4436268351055</v>
      </c>
    </row>
    <row r="6" spans="1:211" x14ac:dyDescent="0.25">
      <c r="A6" s="1">
        <v>2001</v>
      </c>
      <c r="B6" s="3">
        <v>89.541276469129201</v>
      </c>
      <c r="C6" s="3">
        <v>39.264680789379362</v>
      </c>
      <c r="D6" s="3">
        <v>61.356595855063581</v>
      </c>
      <c r="E6" s="3">
        <v>21.04978724946367</v>
      </c>
      <c r="F6" s="3">
        <v>25.145106352136491</v>
      </c>
      <c r="G6" s="3">
        <v>37.107233932170459</v>
      </c>
      <c r="H6" s="3">
        <v>84.882552970723907</v>
      </c>
      <c r="I6" s="3">
        <v>5.3055319197634434</v>
      </c>
      <c r="J6" s="3">
        <v>15.38808513803685</v>
      </c>
      <c r="K6" s="3">
        <v>40.382553206098841</v>
      </c>
      <c r="L6" s="3">
        <v>93.486808371036616</v>
      </c>
      <c r="M6" s="3">
        <v>30.183829733665952</v>
      </c>
      <c r="O6" s="11">
        <f t="shared" si="72"/>
        <v>253.05319116470662</v>
      </c>
      <c r="Q6" s="11">
        <f t="shared" si="73"/>
        <v>253.05319116470662</v>
      </c>
      <c r="S6" s="11">
        <f t="shared" si="74"/>
        <v>190.16255311357213</v>
      </c>
      <c r="T6" s="11">
        <f t="shared" si="75"/>
        <v>18.901143533086497</v>
      </c>
      <c r="Y6">
        <v>1998</v>
      </c>
      <c r="Z6">
        <v>10</v>
      </c>
      <c r="AA6" s="8">
        <v>0</v>
      </c>
      <c r="AB6" s="8">
        <v>710.85278069972981</v>
      </c>
      <c r="AC6" s="8">
        <v>0</v>
      </c>
      <c r="AD6" s="11">
        <v>79.456101700663709</v>
      </c>
      <c r="AL6">
        <v>2002</v>
      </c>
      <c r="AM6" s="8">
        <f>AG54</f>
        <v>83401.702875934541</v>
      </c>
      <c r="AN6" s="8">
        <f t="shared" ref="AN6:AP6" si="83">AH54</f>
        <v>0</v>
      </c>
      <c r="AO6" s="8">
        <f t="shared" si="83"/>
        <v>0</v>
      </c>
      <c r="AP6" s="8">
        <f t="shared" si="83"/>
        <v>83401.702875934541</v>
      </c>
      <c r="AR6" s="11">
        <f t="shared" si="13"/>
        <v>0</v>
      </c>
      <c r="AS6" s="8">
        <v>22515</v>
      </c>
      <c r="AT6">
        <f t="shared" si="14"/>
        <v>30</v>
      </c>
      <c r="AU6" s="8">
        <f t="shared" si="15"/>
        <v>6420</v>
      </c>
      <c r="AV6" s="8">
        <f t="shared" si="47"/>
        <v>16095</v>
      </c>
      <c r="AX6">
        <f t="shared" si="16"/>
        <v>2002</v>
      </c>
      <c r="AY6" s="8">
        <f t="shared" si="17"/>
        <v>83401.702875934541</v>
      </c>
      <c r="AZ6" s="8">
        <f t="shared" si="18"/>
        <v>0</v>
      </c>
      <c r="BA6" s="8">
        <f t="shared" si="19"/>
        <v>0</v>
      </c>
      <c r="BB6" s="8">
        <f t="shared" si="48"/>
        <v>31333</v>
      </c>
      <c r="BC6">
        <f t="shared" si="20"/>
        <v>2002</v>
      </c>
      <c r="BD6" s="8">
        <f t="shared" si="49"/>
        <v>16095</v>
      </c>
      <c r="BE6" s="8">
        <f t="shared" si="21"/>
        <v>23980.309375162644</v>
      </c>
      <c r="BI6">
        <f t="shared" si="1"/>
        <v>2002</v>
      </c>
      <c r="BJ6" s="8">
        <f t="shared" si="2"/>
        <v>83401.702875934541</v>
      </c>
      <c r="BK6" s="8">
        <f t="shared" si="3"/>
        <v>0</v>
      </c>
      <c r="BL6" s="8">
        <f t="shared" si="50"/>
        <v>31333</v>
      </c>
      <c r="BM6" s="8">
        <f t="shared" si="4"/>
        <v>0</v>
      </c>
      <c r="BN6">
        <f t="shared" si="22"/>
        <v>2002</v>
      </c>
      <c r="BO6" s="8">
        <f t="shared" si="5"/>
        <v>16095</v>
      </c>
      <c r="BP6" s="8">
        <f t="shared" si="77"/>
        <v>23452.785507278295</v>
      </c>
      <c r="BQ6" s="8">
        <f t="shared" si="78"/>
        <v>26457.568968605592</v>
      </c>
      <c r="BS6">
        <f t="shared" si="23"/>
        <v>2002</v>
      </c>
      <c r="BT6" s="8">
        <f t="shared" si="6"/>
        <v>83401.702875934541</v>
      </c>
      <c r="BU6" s="8">
        <f t="shared" si="6"/>
        <v>0</v>
      </c>
      <c r="BV6" s="8">
        <f t="shared" si="6"/>
        <v>0</v>
      </c>
      <c r="BW6">
        <v>0</v>
      </c>
      <c r="BX6" s="11">
        <f t="shared" si="51"/>
        <v>2002</v>
      </c>
      <c r="BY6" s="8">
        <f t="shared" si="24"/>
        <v>16095</v>
      </c>
      <c r="BZ6" s="8">
        <f t="shared" si="52"/>
        <v>23640.495646037656</v>
      </c>
      <c r="CF6">
        <f t="shared" si="25"/>
        <v>2002</v>
      </c>
      <c r="CG6" s="8">
        <f>AG55</f>
        <v>113176.38933115546</v>
      </c>
      <c r="CH6" s="8">
        <f t="shared" ref="CH6:CI6" si="84">AH55</f>
        <v>3537.427113533025</v>
      </c>
      <c r="CI6" s="8">
        <f t="shared" si="84"/>
        <v>0</v>
      </c>
      <c r="CJ6">
        <f t="shared" si="54"/>
        <v>0</v>
      </c>
      <c r="CK6">
        <f t="shared" si="55"/>
        <v>2002</v>
      </c>
      <c r="CL6" s="8">
        <f t="shared" si="56"/>
        <v>16095</v>
      </c>
      <c r="CR6">
        <v>1998</v>
      </c>
      <c r="CS6">
        <v>10</v>
      </c>
      <c r="CT6" s="11">
        <v>0</v>
      </c>
      <c r="CU6" s="11">
        <v>0</v>
      </c>
      <c r="CV6" s="11">
        <v>0</v>
      </c>
      <c r="CW6" s="8">
        <v>89.579210954904568</v>
      </c>
      <c r="CX6" s="8">
        <v>84.524900212173904</v>
      </c>
      <c r="CY6" s="8">
        <v>0</v>
      </c>
      <c r="DF6">
        <v>2002</v>
      </c>
      <c r="DG6" s="8">
        <f>DA54</f>
        <v>11312.376089168156</v>
      </c>
      <c r="DH6" s="8">
        <f t="shared" ref="DH6" si="85">DB54</f>
        <v>951.35083346665579</v>
      </c>
      <c r="DI6" s="8">
        <f t="shared" ref="DI6" si="86">DC54</f>
        <v>0</v>
      </c>
      <c r="DJ6" s="11">
        <f t="shared" si="59"/>
        <v>2002</v>
      </c>
      <c r="DK6" s="8">
        <v>8008.22</v>
      </c>
      <c r="DL6" s="8">
        <f t="shared" si="60"/>
        <v>4694.5615301798462</v>
      </c>
      <c r="DO6">
        <v>30</v>
      </c>
      <c r="DP6" s="8">
        <f t="shared" si="61"/>
        <v>2710.5263157894738</v>
      </c>
      <c r="DQ6" s="11">
        <v>2002</v>
      </c>
      <c r="DR6" s="8">
        <f t="shared" si="62"/>
        <v>5297.693684210526</v>
      </c>
      <c r="DS6" s="8">
        <f t="shared" si="29"/>
        <v>11312.376089168156</v>
      </c>
      <c r="DT6" s="8">
        <f t="shared" si="63"/>
        <v>951.35083346665579</v>
      </c>
      <c r="DU6" s="8">
        <f t="shared" si="64"/>
        <v>-257.31437903364184</v>
      </c>
      <c r="DV6" s="8"/>
      <c r="DW6" s="11">
        <v>2002</v>
      </c>
      <c r="DX6" s="8">
        <f t="shared" si="65"/>
        <v>5297.693684210526</v>
      </c>
      <c r="DY6" s="8">
        <f t="shared" si="66"/>
        <v>4278.3995580158353</v>
      </c>
      <c r="EB6" s="38">
        <v>2003</v>
      </c>
      <c r="EC6" s="11">
        <v>18.386831275720166</v>
      </c>
      <c r="ED6" s="11">
        <v>126.48971193415638</v>
      </c>
      <c r="EE6" s="11">
        <v>56.89300411522634</v>
      </c>
      <c r="EF6" s="11">
        <v>96.925925925925924</v>
      </c>
      <c r="EG6" s="11">
        <v>1.8024691358024691</v>
      </c>
      <c r="EH6" s="11">
        <v>48.156378600823047</v>
      </c>
      <c r="EI6" s="11">
        <v>52.525925938484598</v>
      </c>
      <c r="EJ6" s="11">
        <v>59.614814679809065</v>
      </c>
      <c r="EK6" s="11">
        <v>1.1925925887170643</v>
      </c>
      <c r="EL6" s="11">
        <v>49.051440392011479</v>
      </c>
      <c r="EM6" s="11">
        <v>41.135802539778346</v>
      </c>
      <c r="EN6" s="11">
        <v>45.746090578934783</v>
      </c>
      <c r="EO6" s="11">
        <v>597.92098770538962</v>
      </c>
      <c r="EP6" s="11">
        <f t="shared" si="30"/>
        <v>350.40534980135197</v>
      </c>
      <c r="ES6" s="38">
        <v>2003</v>
      </c>
      <c r="ET6" s="11">
        <v>15.735426008968609</v>
      </c>
      <c r="EU6" s="11">
        <v>64.97757847533633</v>
      </c>
      <c r="EV6" s="11">
        <v>18.878923766816143</v>
      </c>
      <c r="EW6" s="11">
        <v>73.874439461883412</v>
      </c>
      <c r="EX6" s="11">
        <v>2.6681614349775784</v>
      </c>
      <c r="EY6" s="11">
        <v>19.869955156950674</v>
      </c>
      <c r="EZ6" s="11">
        <v>27.926905833017667</v>
      </c>
      <c r="FA6" s="11">
        <v>43.693273552864653</v>
      </c>
      <c r="FB6" s="11">
        <v>0.15874439731841664</v>
      </c>
      <c r="FC6" s="11">
        <v>27.299551574638606</v>
      </c>
      <c r="FD6" s="11">
        <v>26.103587445656814</v>
      </c>
      <c r="FE6" s="11">
        <v>41.770403524150765</v>
      </c>
      <c r="FF6" s="11">
        <v>362.95695063257961</v>
      </c>
      <c r="FG6" s="11">
        <f t="shared" si="31"/>
        <v>221.59461885730784</v>
      </c>
      <c r="FH6">
        <v>1998</v>
      </c>
      <c r="FI6" s="66">
        <v>11</v>
      </c>
      <c r="FJ6" s="8">
        <v>0</v>
      </c>
      <c r="FK6" s="8">
        <v>465.26416015625</v>
      </c>
      <c r="FL6" s="8">
        <v>54.2109375</v>
      </c>
      <c r="FM6" s="8">
        <v>294.77</v>
      </c>
      <c r="FS6">
        <f>FN54</f>
        <v>2002</v>
      </c>
      <c r="FT6" s="8">
        <f t="shared" ref="FT6:FV6" si="87">FO54</f>
        <v>7829.8528224006304</v>
      </c>
      <c r="FU6" s="8">
        <f t="shared" si="87"/>
        <v>3072.5928478240985</v>
      </c>
      <c r="FV6" s="8">
        <f t="shared" si="87"/>
        <v>0</v>
      </c>
      <c r="FW6" s="11">
        <f t="shared" si="68"/>
        <v>-177.78290683889543</v>
      </c>
      <c r="FX6" s="8">
        <f>FR54</f>
        <v>4767.3107999999993</v>
      </c>
      <c r="FY6" s="11">
        <f t="shared" si="33"/>
        <v>2002</v>
      </c>
      <c r="FZ6" s="8">
        <v>715.05000000000007</v>
      </c>
      <c r="GA6" s="8">
        <f t="shared" si="34"/>
        <v>1617.2587611637007</v>
      </c>
      <c r="GF6">
        <f t="shared" si="8"/>
        <v>2002</v>
      </c>
      <c r="GG6" s="8">
        <f t="shared" si="9"/>
        <v>7829.8528224006304</v>
      </c>
      <c r="GH6" s="8">
        <f t="shared" si="10"/>
        <v>3072.5928478240985</v>
      </c>
      <c r="GI6" s="8">
        <f t="shared" si="11"/>
        <v>-177.78290683889543</v>
      </c>
      <c r="GJ6">
        <f t="shared" si="35"/>
        <v>2002</v>
      </c>
      <c r="GK6" s="8">
        <f t="shared" si="36"/>
        <v>715.05000000000007</v>
      </c>
      <c r="GM6">
        <f t="shared" si="37"/>
        <v>2002</v>
      </c>
      <c r="GN6" s="8">
        <f t="shared" si="38"/>
        <v>7829.8528224006304</v>
      </c>
      <c r="GO6" s="8">
        <f t="shared" si="39"/>
        <v>3072.5928478240985</v>
      </c>
      <c r="GP6" s="8">
        <f t="shared" si="40"/>
        <v>0</v>
      </c>
      <c r="GQ6" s="8">
        <f t="shared" si="41"/>
        <v>4767.3107999999993</v>
      </c>
      <c r="GR6">
        <f t="shared" si="42"/>
        <v>2002</v>
      </c>
      <c r="GS6" s="8">
        <f t="shared" si="43"/>
        <v>715.05000000000007</v>
      </c>
      <c r="GT6" s="8"/>
      <c r="GU6">
        <f t="shared" si="44"/>
        <v>2002</v>
      </c>
      <c r="GV6" s="8">
        <f t="shared" si="45"/>
        <v>7829.8528224006304</v>
      </c>
      <c r="GW6" s="8">
        <f t="shared" si="69"/>
        <v>7839.9036478240978</v>
      </c>
      <c r="GX6" s="11">
        <f t="shared" si="70"/>
        <v>-177.78290683889543</v>
      </c>
      <c r="GY6">
        <v>0</v>
      </c>
      <c r="GZ6">
        <f>GU6</f>
        <v>2002</v>
      </c>
      <c r="HA6" s="8">
        <f>GS6</f>
        <v>715.05000000000007</v>
      </c>
      <c r="HB6" s="8">
        <f>($HA$19*GV6)+($GZ$19*GW6)+($GY$19*GX6)</f>
        <v>803.85635137458655</v>
      </c>
      <c r="HC6" s="8">
        <f t="shared" si="71"/>
        <v>791.40374647411147</v>
      </c>
    </row>
    <row r="7" spans="1:211" x14ac:dyDescent="0.25">
      <c r="A7" s="1">
        <v>2002</v>
      </c>
      <c r="B7" s="3">
        <v>15.696595731694648</v>
      </c>
      <c r="C7" s="3">
        <v>83.470638193982708</v>
      </c>
      <c r="D7" s="3">
        <v>30.215319134326691</v>
      </c>
      <c r="E7" s="3">
        <v>6.1438297784074827</v>
      </c>
      <c r="F7" s="3">
        <v>1.4310638281893222</v>
      </c>
      <c r="G7" s="3">
        <v>24.42978723810074</v>
      </c>
      <c r="H7" s="3">
        <v>2.1276595744680851E-2</v>
      </c>
      <c r="I7" s="3">
        <v>3.0468085106382978</v>
      </c>
      <c r="J7" s="3">
        <v>21.131914893617022</v>
      </c>
      <c r="K7" s="3">
        <v>3.5531914893617023</v>
      </c>
      <c r="L7" s="3">
        <v>15.51063829787234</v>
      </c>
      <c r="M7" s="3">
        <v>50.706382978723404</v>
      </c>
      <c r="O7" s="11">
        <f t="shared" si="72"/>
        <v>206.47659574468085</v>
      </c>
      <c r="Q7" s="11">
        <f t="shared" si="73"/>
        <v>206.47659574468082</v>
      </c>
      <c r="S7" s="11">
        <f t="shared" si="74"/>
        <v>129.38255306000406</v>
      </c>
      <c r="T7" s="11">
        <f t="shared" si="75"/>
        <v>-41.878856520481577</v>
      </c>
      <c r="Y7">
        <v>1998</v>
      </c>
      <c r="Z7">
        <v>11</v>
      </c>
      <c r="AA7" s="8">
        <v>0</v>
      </c>
      <c r="AB7" s="8">
        <v>4342.2823162078867</v>
      </c>
      <c r="AC7" s="8">
        <v>36.889404296875</v>
      </c>
      <c r="AD7" s="11">
        <v>76.893001645803594</v>
      </c>
      <c r="AL7">
        <v>2003</v>
      </c>
      <c r="AM7" s="8">
        <f>AG66</f>
        <v>8865.3892470356041</v>
      </c>
      <c r="AN7" s="8">
        <f t="shared" ref="AN7:AP7" si="88">AH66</f>
        <v>0</v>
      </c>
      <c r="AO7" s="8">
        <f t="shared" si="88"/>
        <v>0</v>
      </c>
      <c r="AP7" s="8">
        <f t="shared" si="88"/>
        <v>8865.3892470356041</v>
      </c>
      <c r="AR7" s="11">
        <f t="shared" si="13"/>
        <v>0</v>
      </c>
      <c r="AS7" s="8">
        <v>15497</v>
      </c>
      <c r="AT7">
        <f t="shared" si="14"/>
        <v>2</v>
      </c>
      <c r="AU7" s="8">
        <f t="shared" si="15"/>
        <v>8189.6</v>
      </c>
      <c r="AV7" s="8">
        <f t="shared" si="47"/>
        <v>7307.4</v>
      </c>
      <c r="AX7">
        <f t="shared" si="16"/>
        <v>2003</v>
      </c>
      <c r="AY7" s="8">
        <f t="shared" si="17"/>
        <v>8865.3892470356041</v>
      </c>
      <c r="AZ7" s="8">
        <f t="shared" si="18"/>
        <v>0</v>
      </c>
      <c r="BA7" s="8">
        <f t="shared" si="19"/>
        <v>0</v>
      </c>
      <c r="BB7" s="8">
        <f t="shared" si="48"/>
        <v>16095</v>
      </c>
      <c r="BC7">
        <f t="shared" si="20"/>
        <v>2003</v>
      </c>
      <c r="BD7" s="8">
        <f t="shared" si="49"/>
        <v>7307.4</v>
      </c>
      <c r="BE7" s="8">
        <f t="shared" si="21"/>
        <v>2549.0459971950759</v>
      </c>
      <c r="BI7">
        <f t="shared" si="1"/>
        <v>2003</v>
      </c>
      <c r="BJ7" s="8">
        <f t="shared" si="2"/>
        <v>8865.3892470356041</v>
      </c>
      <c r="BK7" s="8">
        <f t="shared" si="3"/>
        <v>0</v>
      </c>
      <c r="BL7" s="8">
        <f t="shared" si="50"/>
        <v>16095</v>
      </c>
      <c r="BM7" s="8">
        <f t="shared" si="4"/>
        <v>0</v>
      </c>
      <c r="BN7">
        <f t="shared" si="22"/>
        <v>2003</v>
      </c>
      <c r="BO7" s="8">
        <f t="shared" si="5"/>
        <v>7307.4</v>
      </c>
      <c r="BP7" s="8">
        <f t="shared" si="77"/>
        <v>6618.5910132813833</v>
      </c>
      <c r="BQ7" s="8">
        <f t="shared" si="78"/>
        <v>8414.208446472252</v>
      </c>
      <c r="BS7">
        <f t="shared" si="23"/>
        <v>2003</v>
      </c>
      <c r="BT7" s="8">
        <f t="shared" si="6"/>
        <v>8865.3892470356041</v>
      </c>
      <c r="BU7" s="8">
        <f t="shared" si="6"/>
        <v>0</v>
      </c>
      <c r="BV7" s="8">
        <f t="shared" si="6"/>
        <v>0</v>
      </c>
      <c r="BW7">
        <v>0</v>
      </c>
      <c r="BX7" s="11">
        <f t="shared" si="51"/>
        <v>2003</v>
      </c>
      <c r="BY7" s="8">
        <f t="shared" si="24"/>
        <v>7307.4</v>
      </c>
      <c r="BZ7" s="8">
        <f t="shared" si="52"/>
        <v>2512.9246606240331</v>
      </c>
      <c r="CF7">
        <f t="shared" si="25"/>
        <v>2003</v>
      </c>
      <c r="CG7" s="8">
        <f>AG67</f>
        <v>31991.559246170338</v>
      </c>
      <c r="CH7" s="8">
        <f t="shared" ref="CH7:CI7" si="89">AH67</f>
        <v>22458.43051341176</v>
      </c>
      <c r="CI7" s="8">
        <f t="shared" si="89"/>
        <v>0</v>
      </c>
      <c r="CJ7">
        <f t="shared" si="54"/>
        <v>0</v>
      </c>
      <c r="CK7">
        <f t="shared" si="55"/>
        <v>2003</v>
      </c>
      <c r="CL7" s="8">
        <f t="shared" si="56"/>
        <v>7307.4</v>
      </c>
      <c r="CR7">
        <v>1998</v>
      </c>
      <c r="CS7">
        <v>11</v>
      </c>
      <c r="CT7" s="11">
        <v>0</v>
      </c>
      <c r="CU7" s="11">
        <v>0</v>
      </c>
      <c r="CV7" s="11">
        <v>0</v>
      </c>
      <c r="CW7" s="8">
        <v>479.83721208572388</v>
      </c>
      <c r="CX7" s="8">
        <v>72.630914845404888</v>
      </c>
      <c r="CY7" s="8">
        <v>0</v>
      </c>
      <c r="DF7">
        <v>2003</v>
      </c>
      <c r="DG7" s="8">
        <f>DA66</f>
        <v>2167.1187996124845</v>
      </c>
      <c r="DH7" s="8">
        <f t="shared" ref="DH7" si="90">DB66</f>
        <v>4214.7943852053213</v>
      </c>
      <c r="DI7" s="8">
        <f t="shared" ref="DI7" si="91">DC66</f>
        <v>176.6322021484375</v>
      </c>
      <c r="DJ7" s="11">
        <f t="shared" si="59"/>
        <v>2003</v>
      </c>
      <c r="DK7" s="8">
        <v>5603.12</v>
      </c>
      <c r="DL7" s="8">
        <f t="shared" si="60"/>
        <v>6125.4460883777401</v>
      </c>
      <c r="DO7">
        <v>2</v>
      </c>
      <c r="DP7" s="8">
        <f t="shared" si="61"/>
        <v>3447.3684210526317</v>
      </c>
      <c r="DQ7" s="11">
        <v>2003</v>
      </c>
      <c r="DR7" s="8">
        <f t="shared" si="62"/>
        <v>2155.7515789473682</v>
      </c>
      <c r="DS7" s="8">
        <f t="shared" si="29"/>
        <v>2167.1187996124845</v>
      </c>
      <c r="DT7" s="8">
        <f t="shared" si="63"/>
        <v>4391.4265873537588</v>
      </c>
      <c r="DU7" s="8">
        <f t="shared" si="64"/>
        <v>-25.2715806729625</v>
      </c>
      <c r="DV7" s="8"/>
      <c r="DW7" s="11">
        <v>2003</v>
      </c>
      <c r="DX7" s="8">
        <f t="shared" si="65"/>
        <v>2155.7515789473682</v>
      </c>
      <c r="DY7" s="8">
        <f t="shared" si="66"/>
        <v>4868.4819802419097</v>
      </c>
      <c r="EB7" s="38">
        <v>2004</v>
      </c>
      <c r="EC7" s="11">
        <v>191.42510308159723</v>
      </c>
      <c r="ED7" s="11">
        <v>90.370781729741353</v>
      </c>
      <c r="EE7" s="11">
        <v>54.051028844260387</v>
      </c>
      <c r="EF7" s="11">
        <v>35.092592521950053</v>
      </c>
      <c r="EG7" s="11">
        <v>25.080658433859242</v>
      </c>
      <c r="EH7" s="11">
        <v>18.89506171269672</v>
      </c>
      <c r="EI7" s="11">
        <v>41.703703703703702</v>
      </c>
      <c r="EJ7" s="11">
        <v>34.753086419753089</v>
      </c>
      <c r="EK7" s="11">
        <v>58.91769547325103</v>
      </c>
      <c r="EL7" s="11">
        <v>50.218106995884774</v>
      </c>
      <c r="EM7" s="11">
        <v>103.52263374485597</v>
      </c>
      <c r="EN7" s="11">
        <v>269.81481481481484</v>
      </c>
      <c r="EO7" s="11">
        <v>973.84526747636824</v>
      </c>
      <c r="EP7" s="11">
        <f t="shared" si="30"/>
        <v>368.18353900595457</v>
      </c>
      <c r="ES7" s="38">
        <v>2004</v>
      </c>
      <c r="ET7" s="11">
        <v>112.03452944220983</v>
      </c>
      <c r="EU7" s="11">
        <v>58.761883449126785</v>
      </c>
      <c r="EV7" s="11">
        <v>71.687443951320219</v>
      </c>
      <c r="EW7" s="11">
        <v>27.736322924695209</v>
      </c>
      <c r="EX7" s="11">
        <v>15.299999976906541</v>
      </c>
      <c r="EY7" s="11">
        <v>9.853363225278299</v>
      </c>
      <c r="EZ7" s="11">
        <v>22.856502242152466</v>
      </c>
      <c r="FA7" s="11">
        <v>22.68609865470852</v>
      </c>
      <c r="FB7" s="11">
        <v>13.627802690582959</v>
      </c>
      <c r="FC7" s="11">
        <v>11.923766816143498</v>
      </c>
      <c r="FD7" s="11">
        <v>67.488789237668158</v>
      </c>
      <c r="FE7" s="11">
        <v>141.45291479820628</v>
      </c>
      <c r="FF7" s="11">
        <v>575.40941740899882</v>
      </c>
      <c r="FG7" s="11">
        <f t="shared" si="31"/>
        <v>191.47264576813564</v>
      </c>
      <c r="FH7">
        <v>1998</v>
      </c>
      <c r="FI7" s="66">
        <v>12</v>
      </c>
      <c r="FJ7" s="8">
        <v>0</v>
      </c>
      <c r="FK7" s="8">
        <v>1855.5320880413051</v>
      </c>
      <c r="FL7" s="8">
        <v>0</v>
      </c>
      <c r="FM7" s="8">
        <v>748.11</v>
      </c>
      <c r="FS7">
        <f>FN66</f>
        <v>2003</v>
      </c>
      <c r="FT7" s="8">
        <f t="shared" ref="FT7:FV7" si="92">FO66</f>
        <v>2140.3415148556228</v>
      </c>
      <c r="FU7" s="8">
        <f t="shared" si="92"/>
        <v>1298.6094703674314</v>
      </c>
      <c r="FV7" s="8">
        <f t="shared" si="92"/>
        <v>0</v>
      </c>
      <c r="FW7" s="11">
        <f t="shared" si="68"/>
        <v>-21.967211748483919</v>
      </c>
      <c r="FX7" s="8">
        <f>FR66</f>
        <v>6454.01</v>
      </c>
      <c r="FY7" s="11">
        <f t="shared" si="33"/>
        <v>2003</v>
      </c>
      <c r="FZ7" s="8">
        <v>92.6</v>
      </c>
      <c r="GA7" s="8">
        <f t="shared" si="34"/>
        <v>528.13157547197409</v>
      </c>
      <c r="GF7">
        <f t="shared" si="8"/>
        <v>2003</v>
      </c>
      <c r="GG7" s="8">
        <f t="shared" si="9"/>
        <v>2140.3415148556228</v>
      </c>
      <c r="GH7" s="8">
        <f t="shared" si="10"/>
        <v>1298.6094703674314</v>
      </c>
      <c r="GI7" s="8">
        <f t="shared" si="11"/>
        <v>-21.967211748483919</v>
      </c>
      <c r="GJ7">
        <f t="shared" si="35"/>
        <v>2003</v>
      </c>
      <c r="GK7" s="8">
        <f t="shared" si="36"/>
        <v>92.6</v>
      </c>
      <c r="GM7">
        <f t="shared" si="37"/>
        <v>2003</v>
      </c>
      <c r="GN7" s="8">
        <f t="shared" si="38"/>
        <v>2140.3415148556228</v>
      </c>
      <c r="GO7" s="8">
        <f t="shared" si="39"/>
        <v>1298.6094703674314</v>
      </c>
      <c r="GP7" s="8">
        <f t="shared" si="40"/>
        <v>0</v>
      </c>
      <c r="GQ7" s="8">
        <f t="shared" si="41"/>
        <v>6454.01</v>
      </c>
      <c r="GR7">
        <f t="shared" si="42"/>
        <v>2003</v>
      </c>
      <c r="GS7" s="8">
        <f t="shared" si="43"/>
        <v>92.6</v>
      </c>
      <c r="GT7" s="8"/>
      <c r="GU7">
        <f t="shared" si="44"/>
        <v>2003</v>
      </c>
      <c r="GV7" s="8">
        <f t="shared" si="45"/>
        <v>2140.3415148556228</v>
      </c>
      <c r="GW7" s="8">
        <f t="shared" si="69"/>
        <v>7752.6194703674319</v>
      </c>
      <c r="GX7" s="11">
        <f t="shared" si="70"/>
        <v>-21.967211748483919</v>
      </c>
      <c r="GY7">
        <v>0</v>
      </c>
      <c r="GZ7">
        <f>GU7</f>
        <v>2003</v>
      </c>
      <c r="HA7" s="8">
        <f>GS7</f>
        <v>92.6</v>
      </c>
      <c r="HB7" s="8">
        <f>($HA$19*GV7)+($GZ$19*GW7)+($GY$19*GX7)</f>
        <v>561.57729813232663</v>
      </c>
      <c r="HC7" s="8">
        <f t="shared" si="71"/>
        <v>482.42372235029393</v>
      </c>
    </row>
    <row r="8" spans="1:211" x14ac:dyDescent="0.25">
      <c r="A8" s="1">
        <v>2003</v>
      </c>
      <c r="B8" s="3">
        <v>14.731914893617022</v>
      </c>
      <c r="C8" s="3">
        <v>92.978723404255319</v>
      </c>
      <c r="D8" s="3">
        <v>32.548936170212762</v>
      </c>
      <c r="E8" s="3">
        <v>79.527659574468089</v>
      </c>
      <c r="F8" s="3">
        <v>1.0680851063829788</v>
      </c>
      <c r="G8" s="3">
        <v>23.153191489361703</v>
      </c>
      <c r="H8" s="3">
        <v>40.215319150559445</v>
      </c>
      <c r="I8" s="3">
        <v>58.245957232536156</v>
      </c>
      <c r="J8" s="3">
        <v>0.57446808789638759</v>
      </c>
      <c r="K8" s="3">
        <v>35.137446845845972</v>
      </c>
      <c r="L8" s="3">
        <v>48.146808494405541</v>
      </c>
      <c r="M8" s="3">
        <v>37.859574533016122</v>
      </c>
      <c r="O8" s="11">
        <f t="shared" si="72"/>
        <v>401.97829838204882</v>
      </c>
      <c r="Q8" s="11">
        <f t="shared" si="73"/>
        <v>401.97829838204893</v>
      </c>
      <c r="S8" s="11">
        <f t="shared" si="74"/>
        <v>140.25957446808511</v>
      </c>
      <c r="T8" s="11">
        <f t="shared" si="75"/>
        <v>-31.001835112400528</v>
      </c>
      <c r="Y8">
        <v>1998</v>
      </c>
      <c r="Z8">
        <v>12</v>
      </c>
      <c r="AA8" s="8">
        <v>26936.665721654888</v>
      </c>
      <c r="AB8" s="8">
        <v>643.07461512088776</v>
      </c>
      <c r="AC8" s="8">
        <v>0</v>
      </c>
      <c r="AD8" s="11">
        <v>79.456101700663709</v>
      </c>
      <c r="AL8">
        <v>2004</v>
      </c>
      <c r="AM8" s="8">
        <f>AG78</f>
        <v>13685.329389441758</v>
      </c>
      <c r="AN8" s="8">
        <f t="shared" ref="AN8:AP8" si="93">AH78</f>
        <v>42.506691098213224</v>
      </c>
      <c r="AO8" s="8">
        <f t="shared" si="93"/>
        <v>14222.740722656255</v>
      </c>
      <c r="AP8" s="8">
        <f t="shared" si="93"/>
        <v>13727.836080539972</v>
      </c>
      <c r="AR8" s="11">
        <f t="shared" si="13"/>
        <v>0</v>
      </c>
      <c r="AS8" s="8">
        <v>28117</v>
      </c>
      <c r="AT8">
        <f t="shared" si="14"/>
        <v>53</v>
      </c>
      <c r="AU8" s="8">
        <f t="shared" si="15"/>
        <v>4966.3999999999996</v>
      </c>
      <c r="AV8" s="8">
        <f t="shared" si="47"/>
        <v>23150.6</v>
      </c>
      <c r="AX8">
        <f t="shared" si="16"/>
        <v>2004</v>
      </c>
      <c r="AY8" s="8">
        <f t="shared" si="17"/>
        <v>13685.329389441758</v>
      </c>
      <c r="AZ8" s="8">
        <f t="shared" si="18"/>
        <v>42.506691098213224</v>
      </c>
      <c r="BA8" s="8">
        <f t="shared" si="19"/>
        <v>14222.740722656255</v>
      </c>
      <c r="BB8" s="8">
        <f t="shared" si="48"/>
        <v>7307.4</v>
      </c>
      <c r="BC8">
        <f t="shared" si="20"/>
        <v>2004</v>
      </c>
      <c r="BD8" s="8">
        <f t="shared" si="49"/>
        <v>23150.6</v>
      </c>
      <c r="BE8" s="8">
        <f t="shared" si="21"/>
        <v>7049.4920996569826</v>
      </c>
      <c r="BI8">
        <f t="shared" si="1"/>
        <v>2004</v>
      </c>
      <c r="BJ8" s="8">
        <f t="shared" si="2"/>
        <v>13685.329389441758</v>
      </c>
      <c r="BK8" s="8">
        <f t="shared" si="3"/>
        <v>42.506691098213224</v>
      </c>
      <c r="BL8" s="8">
        <f t="shared" si="50"/>
        <v>7307.4</v>
      </c>
      <c r="BM8" s="8">
        <f t="shared" si="4"/>
        <v>14222.740722656255</v>
      </c>
      <c r="BN8">
        <f t="shared" si="22"/>
        <v>2004</v>
      </c>
      <c r="BO8" s="8">
        <f t="shared" si="5"/>
        <v>23150.6</v>
      </c>
      <c r="BP8" s="8">
        <f t="shared" si="77"/>
        <v>6908.1710889988753</v>
      </c>
      <c r="BQ8" s="8">
        <f t="shared" si="78"/>
        <v>5333.6453638108869</v>
      </c>
      <c r="BS8">
        <f t="shared" si="23"/>
        <v>2004</v>
      </c>
      <c r="BT8" s="8">
        <f t="shared" si="6"/>
        <v>13685.329389441758</v>
      </c>
      <c r="BU8" s="8">
        <f t="shared" si="6"/>
        <v>42.506691098213224</v>
      </c>
      <c r="BV8" s="8">
        <f t="shared" si="6"/>
        <v>14222.740722656255</v>
      </c>
      <c r="BW8">
        <v>1</v>
      </c>
      <c r="BX8" s="11">
        <f t="shared" si="51"/>
        <v>2004</v>
      </c>
      <c r="BY8" s="8">
        <f t="shared" si="24"/>
        <v>23150.6</v>
      </c>
      <c r="BZ8" s="8">
        <f t="shared" si="52"/>
        <v>23150.599999999988</v>
      </c>
      <c r="CF8">
        <f t="shared" si="25"/>
        <v>2004</v>
      </c>
      <c r="CG8" s="8">
        <f>AG79</f>
        <v>60054.344951916493</v>
      </c>
      <c r="CH8" s="8">
        <f t="shared" ref="CH8:CI8" si="94">AH79</f>
        <v>12064.368506908419</v>
      </c>
      <c r="CI8" s="8">
        <f t="shared" si="94"/>
        <v>14222.740722656255</v>
      </c>
      <c r="CJ8">
        <f t="shared" si="54"/>
        <v>1</v>
      </c>
      <c r="CK8">
        <f t="shared" si="55"/>
        <v>2004</v>
      </c>
      <c r="CL8" s="8">
        <f t="shared" si="56"/>
        <v>23150.6</v>
      </c>
      <c r="CR8">
        <v>1998</v>
      </c>
      <c r="CS8">
        <v>12</v>
      </c>
      <c r="CT8" s="11">
        <v>0</v>
      </c>
      <c r="CU8" s="11">
        <v>0</v>
      </c>
      <c r="CV8" s="11">
        <v>0</v>
      </c>
      <c r="CW8" s="8">
        <v>2364.680388689043</v>
      </c>
      <c r="CX8" s="8">
        <v>0.61021022796630919</v>
      </c>
      <c r="CY8" s="8">
        <v>0</v>
      </c>
      <c r="DF8">
        <v>2004</v>
      </c>
      <c r="DG8" s="8">
        <f>DA78</f>
        <v>4196.1286302035678</v>
      </c>
      <c r="DH8" s="8">
        <f t="shared" ref="DH8" si="95">DB78</f>
        <v>3095.3003802090184</v>
      </c>
      <c r="DI8" s="8">
        <f t="shared" ref="DI8" si="96">DC78</f>
        <v>3209.7710449218748</v>
      </c>
      <c r="DJ8" s="11">
        <f t="shared" si="59"/>
        <v>2004</v>
      </c>
      <c r="DK8" s="8">
        <v>12081.37</v>
      </c>
      <c r="DL8" s="8">
        <f t="shared" si="60"/>
        <v>8629.0125623634667</v>
      </c>
      <c r="DO8">
        <v>53</v>
      </c>
      <c r="DP8" s="8">
        <f t="shared" si="61"/>
        <v>2105.2631578947367</v>
      </c>
      <c r="DQ8" s="11">
        <v>2004</v>
      </c>
      <c r="DR8" s="8">
        <f t="shared" si="62"/>
        <v>9976.1068421052641</v>
      </c>
      <c r="DS8" s="8">
        <f t="shared" si="29"/>
        <v>4196.1286302035678</v>
      </c>
      <c r="DT8" s="8">
        <f t="shared" si="63"/>
        <v>6305.0714251308927</v>
      </c>
      <c r="DU8" s="8">
        <f t="shared" si="64"/>
        <v>-7.4933914683599028</v>
      </c>
      <c r="DV8" s="8"/>
      <c r="DW8" s="11">
        <v>2004</v>
      </c>
      <c r="DX8" s="8">
        <f t="shared" si="65"/>
        <v>9976.1068421052641</v>
      </c>
      <c r="DY8" s="8">
        <f t="shared" si="66"/>
        <v>7312.4890739759521</v>
      </c>
      <c r="EB8" s="38">
        <v>2005</v>
      </c>
      <c r="EC8" s="11">
        <v>44.160493827160494</v>
      </c>
      <c r="ED8" s="11">
        <v>52.539094650205762</v>
      </c>
      <c r="EE8" s="11">
        <v>8.6296296296296298</v>
      </c>
      <c r="EF8" s="11">
        <v>0.8847736625514403</v>
      </c>
      <c r="EG8" s="11">
        <v>21.526748971193417</v>
      </c>
      <c r="EH8" s="11">
        <v>223.33333333333334</v>
      </c>
      <c r="EI8" s="11">
        <v>32.927571912851846</v>
      </c>
      <c r="EJ8" s="11">
        <v>25.17777783193706</v>
      </c>
      <c r="EK8" s="11">
        <v>73.807819083884908</v>
      </c>
      <c r="EL8" s="11">
        <v>53.655555473924174</v>
      </c>
      <c r="EM8" s="11">
        <v>101.87242810912583</v>
      </c>
      <c r="EN8" s="11">
        <v>91.794650215180326</v>
      </c>
      <c r="EO8" s="11">
        <v>730.30987670097829</v>
      </c>
      <c r="EP8" s="11">
        <f t="shared" si="30"/>
        <v>533.18600837880206</v>
      </c>
      <c r="ES8" s="38">
        <v>2005</v>
      </c>
      <c r="ET8" s="11">
        <v>21.121076233183857</v>
      </c>
      <c r="EU8" s="11">
        <v>28.044843049327355</v>
      </c>
      <c r="EV8" s="11">
        <v>3.9192825112107625</v>
      </c>
      <c r="EW8" s="11">
        <v>0.13452914798206278</v>
      </c>
      <c r="EX8" s="11">
        <v>20.197309417040358</v>
      </c>
      <c r="EY8" s="11">
        <v>126.63677130044843</v>
      </c>
      <c r="EZ8" s="11">
        <v>8.8820627954508691</v>
      </c>
      <c r="FA8" s="11">
        <v>15.995964118718032</v>
      </c>
      <c r="FB8" s="11">
        <v>31.751569448565153</v>
      </c>
      <c r="FC8" s="11">
        <v>44.532287093021409</v>
      </c>
      <c r="FD8" s="11">
        <v>59.170403553231417</v>
      </c>
      <c r="FE8" s="11">
        <v>35.951569527253973</v>
      </c>
      <c r="FF8" s="11">
        <v>396.33766819543371</v>
      </c>
      <c r="FG8" s="11">
        <f t="shared" si="31"/>
        <v>307.30089687445775</v>
      </c>
      <c r="FH8">
        <v>1999</v>
      </c>
      <c r="FI8" s="66">
        <v>1</v>
      </c>
      <c r="FJ8" s="8">
        <v>982.85717773437568</v>
      </c>
      <c r="FK8" s="8">
        <v>0</v>
      </c>
      <c r="FL8" s="8">
        <v>0</v>
      </c>
      <c r="FM8" s="8">
        <v>362.41</v>
      </c>
      <c r="FS8">
        <f>FN78</f>
        <v>2004</v>
      </c>
      <c r="FT8" s="8">
        <f t="shared" ref="FT8:FV8" si="97">FO78</f>
        <v>11679.814565479754</v>
      </c>
      <c r="FU8" s="8">
        <f t="shared" si="97"/>
        <v>10431.381530761719</v>
      </c>
      <c r="FV8" s="8">
        <f t="shared" si="97"/>
        <v>7416.63183593751</v>
      </c>
      <c r="FW8" s="11">
        <f t="shared" si="68"/>
        <v>-52.08918483765612</v>
      </c>
      <c r="FX8" s="8">
        <f>FR78</f>
        <v>14019.902</v>
      </c>
      <c r="FY8" s="11">
        <f t="shared" si="33"/>
        <v>2004</v>
      </c>
      <c r="FZ8" s="8">
        <v>2673.1</v>
      </c>
      <c r="GA8" s="8">
        <f t="shared" si="34"/>
        <v>3509.4487592179726</v>
      </c>
      <c r="GF8">
        <f t="shared" si="8"/>
        <v>2004</v>
      </c>
      <c r="GG8" s="8">
        <f t="shared" si="9"/>
        <v>11679.814565479754</v>
      </c>
      <c r="GH8" s="8">
        <f t="shared" si="10"/>
        <v>10431.381530761719</v>
      </c>
      <c r="GI8" s="8">
        <f t="shared" si="11"/>
        <v>-52.08918483765612</v>
      </c>
      <c r="GJ8">
        <f t="shared" si="35"/>
        <v>2004</v>
      </c>
      <c r="GK8" s="8">
        <f t="shared" si="36"/>
        <v>2673.1</v>
      </c>
      <c r="GM8">
        <f t="shared" si="37"/>
        <v>2004</v>
      </c>
      <c r="GN8" s="8">
        <f t="shared" si="38"/>
        <v>11679.814565479754</v>
      </c>
      <c r="GO8" s="8">
        <f t="shared" si="39"/>
        <v>10431.381530761719</v>
      </c>
      <c r="GP8" s="8">
        <f t="shared" si="40"/>
        <v>7416.63183593751</v>
      </c>
      <c r="GQ8" s="8">
        <f t="shared" si="41"/>
        <v>14019.902</v>
      </c>
      <c r="GR8">
        <f t="shared" si="42"/>
        <v>2004</v>
      </c>
      <c r="GS8" s="8">
        <f t="shared" si="43"/>
        <v>2673.1</v>
      </c>
      <c r="GT8" s="8"/>
      <c r="GU8">
        <f t="shared" si="44"/>
        <v>2004</v>
      </c>
      <c r="GV8" s="8">
        <f t="shared" si="45"/>
        <v>11679.814565479754</v>
      </c>
      <c r="GW8" s="8">
        <f t="shared" si="69"/>
        <v>31867.915366699228</v>
      </c>
      <c r="GX8" s="11">
        <f t="shared" si="70"/>
        <v>-52.08918483765612</v>
      </c>
      <c r="GY8">
        <v>0</v>
      </c>
      <c r="GZ8">
        <f>GU8</f>
        <v>2004</v>
      </c>
      <c r="HA8" s="8">
        <f>GS8</f>
        <v>2673.1</v>
      </c>
      <c r="HB8" s="8">
        <f>($HA$19*GV8)+($GZ$19*GW8)+($GY$19*GX8)</f>
        <v>3089.9941324729716</v>
      </c>
      <c r="HC8" s="8">
        <f t="shared" si="71"/>
        <v>2757.1319825146725</v>
      </c>
    </row>
    <row r="9" spans="1:211" x14ac:dyDescent="0.25">
      <c r="A9" s="1">
        <v>2004</v>
      </c>
      <c r="B9" s="3">
        <v>157.43021298672289</v>
      </c>
      <c r="C9" s="3">
        <v>90.376595907008394</v>
      </c>
      <c r="D9" s="3">
        <v>68.165106460895942</v>
      </c>
      <c r="E9" s="3">
        <v>27.486382951127723</v>
      </c>
      <c r="F9" s="3">
        <v>24.530638309235268</v>
      </c>
      <c r="G9" s="3">
        <v>13.891914879007542</v>
      </c>
      <c r="H9" s="3">
        <v>35.268085106382976</v>
      </c>
      <c r="I9" s="3">
        <v>29.634042553191488</v>
      </c>
      <c r="J9" s="3">
        <v>31.195744680851064</v>
      </c>
      <c r="K9" s="3">
        <v>32.029787234042551</v>
      </c>
      <c r="L9" s="3">
        <v>117.44680851063829</v>
      </c>
      <c r="M9" s="3">
        <v>193.27659574468086</v>
      </c>
      <c r="O9" s="11">
        <f t="shared" si="72"/>
        <v>406.87234042553195</v>
      </c>
      <c r="Q9" s="11">
        <f t="shared" si="73"/>
        <v>406.87234042553189</v>
      </c>
      <c r="S9" s="11">
        <f t="shared" si="74"/>
        <v>315.97191535462719</v>
      </c>
      <c r="T9" s="11">
        <f t="shared" si="75"/>
        <v>144.71050577414155</v>
      </c>
      <c r="U9" t="s">
        <v>299</v>
      </c>
      <c r="Y9">
        <v>1999</v>
      </c>
      <c r="Z9">
        <v>1</v>
      </c>
      <c r="AA9" s="8">
        <v>57799.691607028253</v>
      </c>
      <c r="AB9" s="8">
        <v>98.093638420104938</v>
      </c>
      <c r="AC9" s="8">
        <v>0</v>
      </c>
      <c r="AD9" s="11">
        <v>79.456101700663709</v>
      </c>
      <c r="AL9">
        <v>2005</v>
      </c>
      <c r="AM9" s="8">
        <f>AG90</f>
        <v>15736.105723798275</v>
      </c>
      <c r="AN9" s="8">
        <f t="shared" ref="AN9:AP9" si="98">AH90</f>
        <v>12736.797132015226</v>
      </c>
      <c r="AO9" s="8">
        <f t="shared" si="98"/>
        <v>36661.105552673354</v>
      </c>
      <c r="AP9" s="8">
        <f t="shared" si="98"/>
        <v>28472.902855813503</v>
      </c>
      <c r="AR9" s="11">
        <f t="shared" si="13"/>
        <v>0</v>
      </c>
      <c r="AS9" s="8">
        <v>29481</v>
      </c>
      <c r="AT9">
        <f t="shared" si="14"/>
        <v>47</v>
      </c>
      <c r="AU9" s="8">
        <f t="shared" si="15"/>
        <v>5345.6</v>
      </c>
      <c r="AV9" s="8">
        <f t="shared" si="47"/>
        <v>24135.4</v>
      </c>
      <c r="AX9">
        <f t="shared" si="16"/>
        <v>2005</v>
      </c>
      <c r="AY9" s="8">
        <f t="shared" si="17"/>
        <v>15736.105723798275</v>
      </c>
      <c r="AZ9" s="8">
        <f t="shared" si="18"/>
        <v>12736.797132015226</v>
      </c>
      <c r="BA9" s="8">
        <f t="shared" si="19"/>
        <v>36661.105552673354</v>
      </c>
      <c r="BB9" s="8">
        <f t="shared" si="48"/>
        <v>23150.6</v>
      </c>
      <c r="BC9">
        <f t="shared" si="20"/>
        <v>2005</v>
      </c>
      <c r="BD9" s="8">
        <f t="shared" si="49"/>
        <v>24135.4</v>
      </c>
      <c r="BE9" s="8">
        <f t="shared" si="21"/>
        <v>25902.729566439011</v>
      </c>
      <c r="BI9">
        <f t="shared" si="1"/>
        <v>2005</v>
      </c>
      <c r="BJ9" s="8">
        <f t="shared" si="2"/>
        <v>15736.105723798275</v>
      </c>
      <c r="BK9" s="8">
        <f t="shared" si="3"/>
        <v>12736.797132015226</v>
      </c>
      <c r="BL9" s="8">
        <f t="shared" si="50"/>
        <v>23150.6</v>
      </c>
      <c r="BM9" s="8">
        <f t="shared" si="4"/>
        <v>36661.105552673354</v>
      </c>
      <c r="BN9">
        <f t="shared" si="22"/>
        <v>2005</v>
      </c>
      <c r="BO9" s="8">
        <f t="shared" si="5"/>
        <v>24135.4</v>
      </c>
      <c r="BP9" s="8">
        <f t="shared" si="77"/>
        <v>27493.20892959099</v>
      </c>
      <c r="BQ9" s="8">
        <f t="shared" si="78"/>
        <v>25041.911853594371</v>
      </c>
      <c r="BS9">
        <f t="shared" si="23"/>
        <v>2005</v>
      </c>
      <c r="BT9" s="8">
        <f t="shared" si="6"/>
        <v>15736.105723798275</v>
      </c>
      <c r="BU9" s="8">
        <f t="shared" si="6"/>
        <v>12736.797132015226</v>
      </c>
      <c r="BV9" s="8">
        <f t="shared" si="6"/>
        <v>36661.105552673354</v>
      </c>
      <c r="BW9">
        <v>0</v>
      </c>
      <c r="BX9" s="11">
        <f t="shared" si="51"/>
        <v>2005</v>
      </c>
      <c r="BY9" s="8">
        <f t="shared" si="24"/>
        <v>24135.4</v>
      </c>
      <c r="BZ9" s="8">
        <f t="shared" si="52"/>
        <v>25367.495826161721</v>
      </c>
      <c r="CF9">
        <f t="shared" si="25"/>
        <v>2005</v>
      </c>
      <c r="CG9" s="8">
        <f>AG91</f>
        <v>111795.78506758061</v>
      </c>
      <c r="CH9" s="8">
        <f t="shared" ref="CH9:CI9" si="99">AH91</f>
        <v>17044.805667221539</v>
      </c>
      <c r="CI9" s="8">
        <f t="shared" si="99"/>
        <v>36661.105552673354</v>
      </c>
      <c r="CJ9">
        <f t="shared" si="54"/>
        <v>0</v>
      </c>
      <c r="CK9">
        <f t="shared" si="55"/>
        <v>2005</v>
      </c>
      <c r="CL9" s="8">
        <f t="shared" si="56"/>
        <v>24135.4</v>
      </c>
      <c r="CR9">
        <v>1999</v>
      </c>
      <c r="CS9">
        <v>1</v>
      </c>
      <c r="CT9" s="11">
        <v>863.01593208313022</v>
      </c>
      <c r="CU9" s="11">
        <v>0</v>
      </c>
      <c r="CV9" s="11">
        <v>0</v>
      </c>
      <c r="CW9" s="8">
        <v>5067.7656614542011</v>
      </c>
      <c r="CX9" s="8">
        <v>25.982405653595947</v>
      </c>
      <c r="CY9" s="8">
        <v>0</v>
      </c>
      <c r="DF9">
        <v>2005</v>
      </c>
      <c r="DG9" s="8">
        <f>DA90</f>
        <v>8697.9563027168624</v>
      </c>
      <c r="DH9" s="8">
        <f t="shared" ref="DH9" si="100">DB90</f>
        <v>6075.4322832627395</v>
      </c>
      <c r="DI9" s="8">
        <f t="shared" ref="DI9" si="101">DC90</f>
        <v>4275.2445068359375</v>
      </c>
      <c r="DJ9" s="11">
        <f t="shared" si="59"/>
        <v>2005</v>
      </c>
      <c r="DK9" s="8">
        <v>12537</v>
      </c>
      <c r="DL9" s="8">
        <f t="shared" si="60"/>
        <v>14895.416034107995</v>
      </c>
      <c r="DO9">
        <v>47</v>
      </c>
      <c r="DP9" s="8">
        <f t="shared" si="61"/>
        <v>2263.1578947368421</v>
      </c>
      <c r="DQ9" s="11">
        <v>2005</v>
      </c>
      <c r="DR9" s="8">
        <f t="shared" si="62"/>
        <v>10273.842105263158</v>
      </c>
      <c r="DS9" s="8">
        <f t="shared" si="29"/>
        <v>8697.9563027168624</v>
      </c>
      <c r="DT9" s="8">
        <f t="shared" si="63"/>
        <v>10350.676790098678</v>
      </c>
      <c r="DU9" s="8">
        <f t="shared" si="64"/>
        <v>157.50907790448758</v>
      </c>
      <c r="DV9" s="8"/>
      <c r="DW9" s="11">
        <v>2005</v>
      </c>
      <c r="DX9" s="8">
        <f t="shared" si="65"/>
        <v>10273.842105263158</v>
      </c>
      <c r="DY9" s="8">
        <f t="shared" si="66"/>
        <v>12542.452769369282</v>
      </c>
      <c r="EB9" s="38">
        <v>2006</v>
      </c>
      <c r="EC9" s="11">
        <v>55.07613170294114</v>
      </c>
      <c r="ED9" s="11">
        <v>110.71728415155607</v>
      </c>
      <c r="EE9" s="11">
        <v>24.190946563281148</v>
      </c>
      <c r="EF9" s="11">
        <v>35.658436182595082</v>
      </c>
      <c r="EG9" s="11">
        <v>0.77366255487434166</v>
      </c>
      <c r="EH9" s="11">
        <v>52.347736617665234</v>
      </c>
      <c r="EI9" s="11">
        <v>84.617695435575001</v>
      </c>
      <c r="EJ9" s="11">
        <v>14.783950627095415</v>
      </c>
      <c r="EK9" s="11">
        <v>30.402057635931321</v>
      </c>
      <c r="EL9" s="11">
        <v>16.958024643085622</v>
      </c>
      <c r="EM9" s="11">
        <v>47.79176947511273</v>
      </c>
      <c r="EN9" s="11">
        <v>27.319753042464395</v>
      </c>
      <c r="EO9" s="11">
        <v>500.6374486321775</v>
      </c>
      <c r="EP9" s="11">
        <f t="shared" si="30"/>
        <v>283.33333317193473</v>
      </c>
      <c r="ES9" s="38">
        <v>2006</v>
      </c>
      <c r="ET9" s="11">
        <v>28.753811579648691</v>
      </c>
      <c r="EU9" s="11">
        <v>36.749327450055176</v>
      </c>
      <c r="EV9" s="11">
        <v>34.721524576435172</v>
      </c>
      <c r="EW9" s="11">
        <v>36.36457396195074</v>
      </c>
      <c r="EX9" s="11">
        <v>9.7757847854374774E-2</v>
      </c>
      <c r="EY9" s="11">
        <v>31.431390069525339</v>
      </c>
      <c r="EZ9" s="11">
        <v>57.769506736721162</v>
      </c>
      <c r="FA9" s="11">
        <v>5.7744394631663782</v>
      </c>
      <c r="FB9" s="11">
        <v>10.805381169768193</v>
      </c>
      <c r="FC9" s="11">
        <v>1.50582959432773</v>
      </c>
      <c r="FD9" s="11">
        <v>21.503138974108502</v>
      </c>
      <c r="FE9" s="11">
        <v>27.720179348248536</v>
      </c>
      <c r="FF9" s="11">
        <v>293.19686077181007</v>
      </c>
      <c r="FG9" s="11">
        <f t="shared" si="31"/>
        <v>165.25201781742243</v>
      </c>
      <c r="FH9">
        <v>1999</v>
      </c>
      <c r="FI9" s="66">
        <v>2</v>
      </c>
      <c r="FJ9" s="8">
        <v>2970.7069358825679</v>
      </c>
      <c r="FK9" s="8">
        <v>0</v>
      </c>
      <c r="FL9" s="8">
        <v>0</v>
      </c>
      <c r="FM9" s="8">
        <v>1186.4000000000001</v>
      </c>
      <c r="FS9">
        <f>FN90</f>
        <v>2005</v>
      </c>
      <c r="FT9" s="8">
        <f t="shared" ref="FT9:FV9" si="102">FO90</f>
        <v>10756.769403576855</v>
      </c>
      <c r="FU9" s="8">
        <f t="shared" si="102"/>
        <v>15244.548702239994</v>
      </c>
      <c r="FV9" s="8">
        <f t="shared" si="102"/>
        <v>12087.598144531255</v>
      </c>
      <c r="FW9" s="11">
        <f t="shared" si="68"/>
        <v>63.739066268665994</v>
      </c>
      <c r="FX9" s="8">
        <f>FR90</f>
        <v>20521.662999999997</v>
      </c>
      <c r="FY9" s="11">
        <f t="shared" si="33"/>
        <v>2005</v>
      </c>
      <c r="FZ9" s="8">
        <v>2736.2999999999997</v>
      </c>
      <c r="GA9" s="8">
        <f t="shared" si="34"/>
        <v>4289.6052263557149</v>
      </c>
      <c r="GF9">
        <f t="shared" si="8"/>
        <v>2005</v>
      </c>
      <c r="GG9" s="8">
        <f t="shared" si="9"/>
        <v>10756.769403576855</v>
      </c>
      <c r="GH9" s="8">
        <f t="shared" si="10"/>
        <v>15244.548702239994</v>
      </c>
      <c r="GI9" s="8">
        <f t="shared" si="11"/>
        <v>63.739066268665994</v>
      </c>
      <c r="GJ9">
        <f t="shared" si="35"/>
        <v>2005</v>
      </c>
      <c r="GK9" s="8">
        <f t="shared" si="36"/>
        <v>2736.2999999999997</v>
      </c>
      <c r="GM9">
        <f t="shared" si="37"/>
        <v>2005</v>
      </c>
      <c r="GN9" s="8">
        <f t="shared" si="38"/>
        <v>10756.769403576855</v>
      </c>
      <c r="GO9" s="8">
        <f t="shared" si="39"/>
        <v>15244.548702239994</v>
      </c>
      <c r="GP9" s="8">
        <f t="shared" si="40"/>
        <v>12087.598144531255</v>
      </c>
      <c r="GQ9" s="8">
        <f t="shared" si="41"/>
        <v>20521.662999999997</v>
      </c>
      <c r="GR9">
        <f t="shared" si="42"/>
        <v>2005</v>
      </c>
      <c r="GS9" s="8">
        <f t="shared" si="43"/>
        <v>2736.2999999999997</v>
      </c>
      <c r="GT9" s="8"/>
      <c r="GU9">
        <f t="shared" si="44"/>
        <v>2005</v>
      </c>
      <c r="GV9" s="8">
        <f t="shared" si="45"/>
        <v>10756.769403576855</v>
      </c>
      <c r="GW9" s="8">
        <f t="shared" si="69"/>
        <v>47853.809846771241</v>
      </c>
      <c r="GX9" s="11">
        <f t="shared" si="70"/>
        <v>63.739066268665994</v>
      </c>
      <c r="GY9">
        <v>0</v>
      </c>
      <c r="GZ9">
        <f>GU9</f>
        <v>2005</v>
      </c>
      <c r="HA9" s="8">
        <f>GS9</f>
        <v>2736.2999999999997</v>
      </c>
      <c r="HB9" s="8">
        <f>($HA$19*GV9)+($GZ$19*GW9)+($GY$19*GX9)</f>
        <v>4107.9691205471945</v>
      </c>
      <c r="HC9" s="8">
        <f t="shared" si="71"/>
        <v>3543.0185962249807</v>
      </c>
    </row>
    <row r="10" spans="1:211" x14ac:dyDescent="0.25">
      <c r="A10" s="1">
        <v>2005</v>
      </c>
      <c r="B10" s="3">
        <v>50.727659574468085</v>
      </c>
      <c r="C10" s="3">
        <v>42.4</v>
      </c>
      <c r="D10" s="3">
        <v>3.021276595744681</v>
      </c>
      <c r="E10" s="3">
        <v>7.2340425531914887E-2</v>
      </c>
      <c r="F10" s="3">
        <v>15.591489361702127</v>
      </c>
      <c r="G10" s="3">
        <v>194.1872340425532</v>
      </c>
      <c r="H10" s="3">
        <v>15.262978716099516</v>
      </c>
      <c r="I10" s="3">
        <v>19.631914893617022</v>
      </c>
      <c r="J10" s="3">
        <v>53.774468166270154</v>
      </c>
      <c r="K10" s="3">
        <v>47.05787233393243</v>
      </c>
      <c r="L10" s="3">
        <v>76.731489416893496</v>
      </c>
      <c r="M10" s="3">
        <v>63.102978905211103</v>
      </c>
      <c r="O10" s="11">
        <f t="shared" si="72"/>
        <v>264.29446819792406</v>
      </c>
      <c r="Q10" s="11">
        <f t="shared" si="73"/>
        <v>264.29446819792406</v>
      </c>
      <c r="S10" s="11">
        <f t="shared" si="74"/>
        <v>96.148936170212764</v>
      </c>
      <c r="T10" s="11">
        <f t="shared" si="75"/>
        <v>-75.11247341027287</v>
      </c>
      <c r="Y10">
        <v>1999</v>
      </c>
      <c r="Z10">
        <v>2</v>
      </c>
      <c r="AA10" s="8">
        <v>28836.869950421154</v>
      </c>
      <c r="AB10" s="8">
        <v>369.46104621887201</v>
      </c>
      <c r="AC10" s="8">
        <v>0</v>
      </c>
      <c r="AD10" s="11">
        <v>71.766801536083364</v>
      </c>
      <c r="AL10">
        <v>2006</v>
      </c>
      <c r="AM10" s="8">
        <f>AG102</f>
        <v>714.54520312068075</v>
      </c>
      <c r="AN10" s="8">
        <f t="shared" ref="AN10:AP10" si="103">AH102</f>
        <v>0</v>
      </c>
      <c r="AO10" s="8">
        <f t="shared" si="103"/>
        <v>0</v>
      </c>
      <c r="AP10" s="8">
        <f t="shared" si="103"/>
        <v>714.54520312068075</v>
      </c>
      <c r="AQ10" s="8">
        <v>124108</v>
      </c>
      <c r="AR10" s="11">
        <f t="shared" si="13"/>
        <v>124108</v>
      </c>
      <c r="AS10" s="8">
        <v>17671</v>
      </c>
      <c r="AT10">
        <f t="shared" si="14"/>
        <v>2</v>
      </c>
      <c r="AU10" s="8">
        <f t="shared" si="15"/>
        <v>8189.6</v>
      </c>
      <c r="AV10" s="8">
        <f t="shared" si="47"/>
        <v>9481.4</v>
      </c>
      <c r="AX10">
        <f t="shared" si="16"/>
        <v>2006</v>
      </c>
      <c r="AY10" s="8">
        <f t="shared" si="17"/>
        <v>714.54520312068075</v>
      </c>
      <c r="AZ10" s="8">
        <f t="shared" si="18"/>
        <v>0</v>
      </c>
      <c r="BA10" s="8">
        <f t="shared" si="19"/>
        <v>0</v>
      </c>
      <c r="BB10" s="8">
        <f t="shared" si="48"/>
        <v>24135.4</v>
      </c>
      <c r="BC10">
        <f t="shared" si="20"/>
        <v>2006</v>
      </c>
      <c r="BD10" s="8">
        <f t="shared" si="49"/>
        <v>9481.4</v>
      </c>
      <c r="BE10" s="8">
        <f t="shared" si="21"/>
        <v>205.45162080037869</v>
      </c>
      <c r="BI10">
        <f t="shared" si="1"/>
        <v>2006</v>
      </c>
      <c r="BJ10" s="8">
        <f t="shared" si="2"/>
        <v>714.54520312068075</v>
      </c>
      <c r="BK10" s="8">
        <f t="shared" si="3"/>
        <v>0</v>
      </c>
      <c r="BL10" s="8">
        <f t="shared" si="50"/>
        <v>24135.4</v>
      </c>
      <c r="BM10" s="8">
        <f t="shared" si="4"/>
        <v>0</v>
      </c>
      <c r="BN10">
        <f t="shared" si="22"/>
        <v>2006</v>
      </c>
      <c r="BO10" s="8">
        <f t="shared" si="5"/>
        <v>9481.4</v>
      </c>
      <c r="BP10" s="8">
        <f t="shared" si="77"/>
        <v>7915.0519394599187</v>
      </c>
      <c r="BQ10" s="8">
        <f t="shared" si="78"/>
        <v>10701.038325480598</v>
      </c>
      <c r="BS10">
        <f t="shared" si="23"/>
        <v>2006</v>
      </c>
      <c r="BT10" s="8">
        <f t="shared" si="6"/>
        <v>714.54520312068075</v>
      </c>
      <c r="BU10" s="8">
        <f t="shared" si="6"/>
        <v>0</v>
      </c>
      <c r="BV10" s="8">
        <f t="shared" si="6"/>
        <v>0</v>
      </c>
      <c r="BW10">
        <v>0</v>
      </c>
      <c r="BX10" s="11">
        <f t="shared" si="51"/>
        <v>2006</v>
      </c>
      <c r="BY10" s="8">
        <f t="shared" si="24"/>
        <v>9481.4</v>
      </c>
      <c r="BZ10" s="8">
        <f t="shared" si="52"/>
        <v>202.54026213828985</v>
      </c>
      <c r="CF10">
        <f t="shared" si="25"/>
        <v>2006</v>
      </c>
      <c r="CG10" s="8">
        <f>AG103</f>
        <v>986.04928389308077</v>
      </c>
      <c r="CH10" s="8">
        <f t="shared" ref="CH10:CI10" si="104">AH103</f>
        <v>0</v>
      </c>
      <c r="CI10" s="8">
        <f t="shared" si="104"/>
        <v>0</v>
      </c>
      <c r="CJ10">
        <f t="shared" si="54"/>
        <v>0</v>
      </c>
      <c r="CK10">
        <f t="shared" si="55"/>
        <v>2006</v>
      </c>
      <c r="CL10" s="8">
        <f t="shared" si="56"/>
        <v>9481.4</v>
      </c>
      <c r="CR10">
        <v>1999</v>
      </c>
      <c r="CS10">
        <v>2</v>
      </c>
      <c r="CT10" s="11">
        <v>1347.9734945297243</v>
      </c>
      <c r="CU10" s="11">
        <v>0</v>
      </c>
      <c r="CV10" s="11">
        <v>0</v>
      </c>
      <c r="CW10" s="8">
        <v>2421.9274520218382</v>
      </c>
      <c r="CX10" s="8">
        <v>48.070446331286853</v>
      </c>
      <c r="CY10" s="8">
        <v>0</v>
      </c>
      <c r="DF10">
        <v>2006</v>
      </c>
      <c r="DG10" s="8">
        <f>DA102</f>
        <v>3042.0818760322227</v>
      </c>
      <c r="DH10" s="8">
        <f t="shared" ref="DH10" si="105">DB102</f>
        <v>394.62001169144656</v>
      </c>
      <c r="DI10" s="8">
        <f t="shared" ref="DI10" si="106">DC102</f>
        <v>0</v>
      </c>
      <c r="DJ10" s="11">
        <f t="shared" si="59"/>
        <v>2006</v>
      </c>
      <c r="DK10" s="8">
        <v>6549</v>
      </c>
      <c r="DL10" s="8">
        <f t="shared" si="60"/>
        <v>1435.7496402463846</v>
      </c>
      <c r="DN10" s="8">
        <v>16548</v>
      </c>
      <c r="DO10">
        <v>2</v>
      </c>
      <c r="DP10" s="8">
        <f t="shared" si="61"/>
        <v>3447.3684210526317</v>
      </c>
      <c r="DQ10" s="11">
        <v>2006</v>
      </c>
      <c r="DR10" s="8">
        <f t="shared" si="62"/>
        <v>3101.6315789473683</v>
      </c>
      <c r="DS10" s="8">
        <f t="shared" si="29"/>
        <v>3042.0818760322227</v>
      </c>
      <c r="DT10" s="8">
        <f t="shared" si="63"/>
        <v>394.62001169144656</v>
      </c>
      <c r="DU10" s="8">
        <f t="shared" si="64"/>
        <v>-92.343597302379749</v>
      </c>
      <c r="DV10" s="8"/>
      <c r="DW10" s="11">
        <v>2006</v>
      </c>
      <c r="DX10" s="8">
        <f t="shared" si="65"/>
        <v>3101.6315789473683</v>
      </c>
      <c r="DY10" s="8">
        <f t="shared" si="66"/>
        <v>1284.0317412318898</v>
      </c>
      <c r="EB10" s="38">
        <v>2007</v>
      </c>
      <c r="EC10" s="11">
        <v>36.229629677509571</v>
      </c>
      <c r="ED10" s="11">
        <v>73.110699673248419</v>
      </c>
      <c r="EE10" s="11">
        <v>50.717695526625391</v>
      </c>
      <c r="EF10" s="11">
        <v>27.944032904542524</v>
      </c>
      <c r="EG10" s="11">
        <v>43.648971102365252</v>
      </c>
      <c r="EH10" s="11">
        <v>98.500823095502184</v>
      </c>
      <c r="EI10" s="11">
        <v>9.2962962962962958</v>
      </c>
      <c r="EJ10" s="11">
        <v>51.04197528038496</v>
      </c>
      <c r="EK10" s="11">
        <v>3.4197530864197532</v>
      </c>
      <c r="EL10" s="11">
        <v>54.530864197530867</v>
      </c>
      <c r="EM10" s="11">
        <v>50.102880658436213</v>
      </c>
      <c r="EN10" s="11">
        <v>115.36625514403292</v>
      </c>
      <c r="EO10" s="11">
        <v>613.90987664289446</v>
      </c>
      <c r="EP10" s="11">
        <f t="shared" si="30"/>
        <v>338.48559662147807</v>
      </c>
      <c r="ES10" s="38">
        <v>2007</v>
      </c>
      <c r="ET10" s="11">
        <v>27.108071656505089</v>
      </c>
      <c r="EU10" s="11">
        <v>94.578026844247034</v>
      </c>
      <c r="EV10" s="11">
        <v>20.318834065321848</v>
      </c>
      <c r="EW10" s="11">
        <v>27.905829639178222</v>
      </c>
      <c r="EX10" s="11">
        <v>49.227354263510939</v>
      </c>
      <c r="EY10" s="11">
        <v>33.131838533375827</v>
      </c>
      <c r="EZ10" s="11">
        <v>2.9461883408071747</v>
      </c>
      <c r="FA10" s="11">
        <v>9.9080717379202223</v>
      </c>
      <c r="FB10" s="11">
        <v>3.6053811659192827</v>
      </c>
      <c r="FC10" s="11">
        <v>26.524663677130047</v>
      </c>
      <c r="FD10" s="11">
        <v>38.721973094170401</v>
      </c>
      <c r="FE10" s="11">
        <v>137.17040358744396</v>
      </c>
      <c r="FF10" s="11">
        <v>471.14663660552998</v>
      </c>
      <c r="FG10" s="11">
        <f t="shared" si="31"/>
        <v>191.97130045201212</v>
      </c>
      <c r="FH10">
        <v>1999</v>
      </c>
      <c r="FI10" s="66">
        <v>3</v>
      </c>
      <c r="FJ10" s="8">
        <v>2724.8076797723784</v>
      </c>
      <c r="FK10" s="8">
        <v>0</v>
      </c>
      <c r="FL10" s="8">
        <v>0</v>
      </c>
      <c r="FM10" s="8">
        <v>2854.5</v>
      </c>
      <c r="FS10">
        <f>FN102</f>
        <v>2006</v>
      </c>
      <c r="FT10" s="8">
        <f t="shared" ref="FT10:FV10" si="107">FO102</f>
        <v>1.1590189114212983</v>
      </c>
      <c r="FU10" s="8">
        <f t="shared" si="107"/>
        <v>376.61050415039</v>
      </c>
      <c r="FV10" s="8">
        <f t="shared" si="107"/>
        <v>0</v>
      </c>
      <c r="FW10" s="11">
        <f t="shared" si="68"/>
        <v>-78.309812788369328</v>
      </c>
      <c r="FX10" s="8">
        <f>FR102</f>
        <v>2543.02</v>
      </c>
      <c r="FY10" s="11">
        <f t="shared" si="33"/>
        <v>2006</v>
      </c>
      <c r="FZ10" s="8">
        <v>557.65</v>
      </c>
      <c r="GA10" s="8">
        <f t="shared" si="34"/>
        <v>70.799574660787812</v>
      </c>
      <c r="GF10">
        <f t="shared" si="8"/>
        <v>2006</v>
      </c>
      <c r="GG10" s="8">
        <f t="shared" si="9"/>
        <v>1.1590189114212983</v>
      </c>
      <c r="GH10" s="8">
        <f t="shared" si="10"/>
        <v>376.61050415039</v>
      </c>
      <c r="GI10" s="8">
        <f t="shared" si="11"/>
        <v>-78.309812788369328</v>
      </c>
      <c r="GJ10">
        <f t="shared" si="35"/>
        <v>2006</v>
      </c>
      <c r="GK10" s="8">
        <f t="shared" si="36"/>
        <v>557.65</v>
      </c>
      <c r="GM10">
        <f t="shared" si="37"/>
        <v>2006</v>
      </c>
      <c r="GN10" s="8">
        <f t="shared" si="38"/>
        <v>1.1590189114212983</v>
      </c>
      <c r="GO10" s="8">
        <f t="shared" si="39"/>
        <v>376.61050415039</v>
      </c>
      <c r="GP10" s="8">
        <f t="shared" si="40"/>
        <v>0</v>
      </c>
      <c r="GQ10" s="8">
        <f t="shared" si="41"/>
        <v>2543.02</v>
      </c>
      <c r="GR10">
        <f t="shared" si="42"/>
        <v>2006</v>
      </c>
      <c r="GS10" s="8">
        <f t="shared" si="43"/>
        <v>557.65</v>
      </c>
      <c r="GT10" s="8"/>
      <c r="GU10">
        <f t="shared" si="44"/>
        <v>2006</v>
      </c>
      <c r="GV10" s="8">
        <f t="shared" si="45"/>
        <v>1.1590189114212983</v>
      </c>
      <c r="GW10" s="8">
        <f t="shared" si="69"/>
        <v>2919.6305041503902</v>
      </c>
      <c r="GX10" s="11">
        <f t="shared" si="70"/>
        <v>-78.309812788369328</v>
      </c>
      <c r="GY10">
        <v>0</v>
      </c>
      <c r="GZ10">
        <f>GU10</f>
        <v>2006</v>
      </c>
      <c r="HA10" s="8">
        <f>GS10</f>
        <v>557.65</v>
      </c>
      <c r="HB10" s="8">
        <f>($HA$19*GV10)+($GZ$19*GW10)+($GY$19*GX10)</f>
        <v>-341.50726058866502</v>
      </c>
      <c r="HC10" s="8">
        <f t="shared" si="71"/>
        <v>-348.03819797945141</v>
      </c>
    </row>
    <row r="11" spans="1:211" x14ac:dyDescent="0.25">
      <c r="A11" s="1">
        <v>2006</v>
      </c>
      <c r="B11" s="3">
        <v>24.804255242043354</v>
      </c>
      <c r="C11" s="3">
        <v>54.543404242332947</v>
      </c>
      <c r="D11" s="3">
        <v>45.112340391443134</v>
      </c>
      <c r="E11" s="3">
        <v>48.129361724853517</v>
      </c>
      <c r="F11" s="3">
        <v>0.10638298075249855</v>
      </c>
      <c r="G11" s="3">
        <v>29.494042538582011</v>
      </c>
      <c r="H11" s="3">
        <v>80.931914958548035</v>
      </c>
      <c r="I11" s="3">
        <v>14.453191475158041</v>
      </c>
      <c r="J11" s="3">
        <v>19.969787232419279</v>
      </c>
      <c r="K11" s="3">
        <v>4.4587234124224233</v>
      </c>
      <c r="L11" s="3">
        <v>36.863829754768531</v>
      </c>
      <c r="M11" s="3">
        <v>23.640851065453063</v>
      </c>
      <c r="O11" s="11">
        <f t="shared" si="72"/>
        <v>174.57744660884777</v>
      </c>
      <c r="Q11" s="11">
        <f t="shared" si="73"/>
        <v>174.57744660884777</v>
      </c>
      <c r="S11" s="11">
        <f t="shared" si="74"/>
        <v>124.45999987581942</v>
      </c>
      <c r="T11" s="11">
        <f t="shared" si="75"/>
        <v>-46.801409704666213</v>
      </c>
      <c r="Y11">
        <v>1999</v>
      </c>
      <c r="Z11">
        <v>3</v>
      </c>
      <c r="AA11" s="8">
        <v>5560.5071217566729</v>
      </c>
      <c r="AB11" s="8">
        <v>0</v>
      </c>
      <c r="AC11" s="8">
        <v>0</v>
      </c>
      <c r="AD11" s="11">
        <v>79.456101700663709</v>
      </c>
      <c r="AL11">
        <v>2007</v>
      </c>
      <c r="AM11" s="8">
        <f>AF114</f>
        <v>2007</v>
      </c>
      <c r="AN11" s="8">
        <f t="shared" ref="AN11:AP11" si="108">AG114</f>
        <v>967.32811465859515</v>
      </c>
      <c r="AO11" s="8">
        <f t="shared" si="108"/>
        <v>1283.8670401573174</v>
      </c>
      <c r="AP11" s="8">
        <f t="shared" si="108"/>
        <v>0</v>
      </c>
      <c r="AQ11" s="8">
        <v>102409</v>
      </c>
      <c r="AR11" s="11">
        <f t="shared" si="13"/>
        <v>102409</v>
      </c>
      <c r="AS11" s="8">
        <v>7868</v>
      </c>
      <c r="AT11">
        <f t="shared" si="14"/>
        <v>5</v>
      </c>
      <c r="AU11" s="8">
        <f t="shared" si="15"/>
        <v>8000</v>
      </c>
      <c r="AV11" s="8">
        <f t="shared" si="47"/>
        <v>-132</v>
      </c>
      <c r="AX11">
        <f t="shared" si="16"/>
        <v>2007</v>
      </c>
      <c r="AY11" s="8">
        <f t="shared" si="17"/>
        <v>2007</v>
      </c>
      <c r="AZ11" s="8">
        <f t="shared" si="18"/>
        <v>967.32811465859515</v>
      </c>
      <c r="BA11" s="8">
        <f t="shared" si="19"/>
        <v>1283.8670401573174</v>
      </c>
      <c r="BB11" s="8">
        <f t="shared" si="48"/>
        <v>9481.4</v>
      </c>
      <c r="BC11">
        <f t="shared" si="20"/>
        <v>2007</v>
      </c>
      <c r="BD11" s="8">
        <f t="shared" si="49"/>
        <v>0</v>
      </c>
      <c r="BE11" s="8">
        <f t="shared" si="21"/>
        <v>1876.8495805917789</v>
      </c>
      <c r="BI11">
        <f t="shared" si="1"/>
        <v>2007</v>
      </c>
      <c r="BJ11" s="8">
        <f t="shared" si="2"/>
        <v>2007</v>
      </c>
      <c r="BK11" s="8">
        <f t="shared" si="3"/>
        <v>967.32811465859515</v>
      </c>
      <c r="BL11" s="8">
        <f t="shared" si="50"/>
        <v>9481.4</v>
      </c>
      <c r="BM11" s="8">
        <f t="shared" si="4"/>
        <v>1283.8670401573174</v>
      </c>
      <c r="BN11">
        <f t="shared" si="22"/>
        <v>2007</v>
      </c>
      <c r="BO11" s="8">
        <f t="shared" si="5"/>
        <v>0</v>
      </c>
      <c r="BP11" s="8">
        <f t="shared" si="77"/>
        <v>4469.0999271344936</v>
      </c>
      <c r="BQ11" s="8">
        <f t="shared" si="78"/>
        <v>5414.9909900572029</v>
      </c>
      <c r="BS11">
        <f t="shared" si="23"/>
        <v>2007</v>
      </c>
      <c r="BT11" s="8">
        <f t="shared" si="6"/>
        <v>2007</v>
      </c>
      <c r="BU11" s="8">
        <f t="shared" si="6"/>
        <v>967.32811465859515</v>
      </c>
      <c r="BV11" s="8">
        <f t="shared" si="6"/>
        <v>1283.8670401573174</v>
      </c>
      <c r="BW11">
        <v>0</v>
      </c>
      <c r="BX11" s="11">
        <f t="shared" si="51"/>
        <v>2007</v>
      </c>
      <c r="BY11" s="8">
        <f t="shared" si="24"/>
        <v>0</v>
      </c>
      <c r="BZ11" s="8">
        <f t="shared" si="52"/>
        <v>1868.1413675281135</v>
      </c>
      <c r="CF11">
        <f t="shared" si="25"/>
        <v>2007</v>
      </c>
      <c r="CG11" s="8">
        <f>AG115</f>
        <v>10127.090468659999</v>
      </c>
      <c r="CH11" s="8">
        <f t="shared" ref="CH11:CI11" si="109">AH115</f>
        <v>32832.753996938452</v>
      </c>
      <c r="CI11" s="8">
        <f t="shared" si="109"/>
        <v>0</v>
      </c>
      <c r="CJ11">
        <f t="shared" si="54"/>
        <v>0</v>
      </c>
      <c r="CK11">
        <f t="shared" si="55"/>
        <v>2007</v>
      </c>
      <c r="CL11" s="8">
        <f t="shared" si="56"/>
        <v>0</v>
      </c>
      <c r="CR11">
        <v>1999</v>
      </c>
      <c r="CS11">
        <v>3</v>
      </c>
      <c r="CT11" s="11">
        <v>910.73634743690502</v>
      </c>
      <c r="CU11" s="11">
        <v>0</v>
      </c>
      <c r="CV11" s="11">
        <v>0</v>
      </c>
      <c r="CW11" s="8">
        <v>216.97041719527908</v>
      </c>
      <c r="CX11" s="8">
        <v>573.70993559416422</v>
      </c>
      <c r="CY11" s="8">
        <v>0</v>
      </c>
      <c r="DF11">
        <v>2007</v>
      </c>
      <c r="DG11" s="8">
        <f>CZ114</f>
        <v>2007</v>
      </c>
      <c r="DH11" s="8">
        <f t="shared" ref="DH11" si="110">DA114</f>
        <v>2263.2241788873571</v>
      </c>
      <c r="DI11" s="8">
        <f t="shared" ref="DI11" si="111">DB114</f>
        <v>3304.1836662215201</v>
      </c>
      <c r="DJ11" s="11">
        <f t="shared" si="59"/>
        <v>2007</v>
      </c>
      <c r="DK11" s="8">
        <v>3883</v>
      </c>
      <c r="DL11" s="8">
        <f t="shared" si="60"/>
        <v>7013.2628330446605</v>
      </c>
      <c r="DN11" s="8">
        <v>13524</v>
      </c>
      <c r="DO11">
        <v>5</v>
      </c>
      <c r="DP11" s="8">
        <f t="shared" si="61"/>
        <v>3368.4210526315792</v>
      </c>
      <c r="DQ11" s="11">
        <v>2007</v>
      </c>
      <c r="DR11" s="8">
        <f t="shared" si="62"/>
        <v>514.57894736842081</v>
      </c>
      <c r="DS11" s="8">
        <f t="shared" si="29"/>
        <v>2007</v>
      </c>
      <c r="DT11" s="8">
        <f t="shared" si="63"/>
        <v>5567.4078451088772</v>
      </c>
      <c r="DU11" s="8">
        <f t="shared" si="64"/>
        <v>-37.191333852836408</v>
      </c>
      <c r="DV11" s="8"/>
      <c r="DW11" s="11">
        <v>2007</v>
      </c>
      <c r="DX11" s="8">
        <f t="shared" si="65"/>
        <v>514.57894736842081</v>
      </c>
      <c r="DY11" s="8">
        <f t="shared" si="66"/>
        <v>5952.0702729559171</v>
      </c>
      <c r="EB11" s="38">
        <v>2008</v>
      </c>
      <c r="EC11" s="11">
        <v>109.88477366255144</v>
      </c>
      <c r="ED11" s="11">
        <v>125.22222222222223</v>
      </c>
      <c r="EE11" s="11">
        <v>7.0987654320987659</v>
      </c>
      <c r="EF11" s="11">
        <v>12.526748971193415</v>
      </c>
      <c r="EG11" s="11">
        <v>8.7901234567901234</v>
      </c>
      <c r="EH11" s="11">
        <v>49.905349794238681</v>
      </c>
      <c r="EI11" s="11">
        <v>37.536214004328222</v>
      </c>
      <c r="EJ11" s="11">
        <v>26.386831273757871</v>
      </c>
      <c r="EK11" s="11">
        <v>72.427983491999626</v>
      </c>
      <c r="EL11" s="11">
        <v>48.892592630268616</v>
      </c>
      <c r="EM11" s="11">
        <v>152.92263332414038</v>
      </c>
      <c r="EN11" s="11">
        <v>103.06790110898116</v>
      </c>
      <c r="EO11" s="11">
        <v>754.66213937257044</v>
      </c>
      <c r="EP11" s="11">
        <f t="shared" si="30"/>
        <v>409.38847694671699</v>
      </c>
      <c r="ES11" s="38">
        <v>2008</v>
      </c>
      <c r="ET11" s="11">
        <v>50.663677130044846</v>
      </c>
      <c r="EU11" s="11">
        <v>98.869955156950667</v>
      </c>
      <c r="EV11" s="11">
        <v>15.609865470852018</v>
      </c>
      <c r="EW11" s="11">
        <v>1.6771300448430493</v>
      </c>
      <c r="EX11" s="11">
        <v>7.0134529147982061</v>
      </c>
      <c r="EY11" s="11">
        <v>44.367713004484308</v>
      </c>
      <c r="EZ11" s="11">
        <v>24.156053893769268</v>
      </c>
      <c r="FA11" s="11">
        <v>14.91479818917176</v>
      </c>
      <c r="FB11" s="11">
        <v>51.129147978641527</v>
      </c>
      <c r="FC11" s="11">
        <v>72.656950689752009</v>
      </c>
      <c r="FD11" s="11">
        <v>100.90852013831716</v>
      </c>
      <c r="FE11" s="11">
        <v>52.560986523136428</v>
      </c>
      <c r="FF11" s="11">
        <v>534.52825113476126</v>
      </c>
      <c r="FG11" s="11">
        <f t="shared" si="31"/>
        <v>316.82376685377727</v>
      </c>
      <c r="FH11">
        <v>1999</v>
      </c>
      <c r="FI11" s="66">
        <v>4</v>
      </c>
      <c r="FJ11" s="8">
        <v>724.25269722938538</v>
      </c>
      <c r="FK11" s="8">
        <v>4673.0383605957049</v>
      </c>
      <c r="FL11" s="8">
        <v>735.31298828125</v>
      </c>
      <c r="FM11" s="8">
        <v>359.95</v>
      </c>
      <c r="FS11">
        <f>FN114</f>
        <v>2007</v>
      </c>
      <c r="FT11" s="8">
        <f t="shared" ref="FT11:FV11" si="112">FO114</f>
        <v>70.656403779983449</v>
      </c>
      <c r="FU11" s="8">
        <f t="shared" si="112"/>
        <v>5022.0666122436514</v>
      </c>
      <c r="FV11" s="8">
        <f t="shared" si="112"/>
        <v>0</v>
      </c>
      <c r="FW11" s="11">
        <f t="shared" si="68"/>
        <v>-51.590530153779639</v>
      </c>
      <c r="FX11" s="8">
        <f>FR114</f>
        <v>3509.7249999999999</v>
      </c>
      <c r="FY11" s="11">
        <f t="shared" si="33"/>
        <v>2007</v>
      </c>
      <c r="FZ11" s="8">
        <v>0</v>
      </c>
      <c r="GA11" s="8">
        <f t="shared" si="34"/>
        <v>951.44422633889906</v>
      </c>
      <c r="GF11">
        <f t="shared" si="8"/>
        <v>2007</v>
      </c>
      <c r="GG11" s="8">
        <f t="shared" si="9"/>
        <v>70.656403779983449</v>
      </c>
      <c r="GH11" s="8">
        <f t="shared" si="10"/>
        <v>5022.0666122436514</v>
      </c>
      <c r="GI11" s="8">
        <f t="shared" si="11"/>
        <v>-51.590530153779639</v>
      </c>
      <c r="GJ11">
        <f t="shared" si="35"/>
        <v>2007</v>
      </c>
      <c r="GK11" s="8">
        <f t="shared" si="36"/>
        <v>0</v>
      </c>
      <c r="GM11">
        <f t="shared" si="37"/>
        <v>2007</v>
      </c>
      <c r="GN11" s="8">
        <f t="shared" si="38"/>
        <v>70.656403779983449</v>
      </c>
      <c r="GO11" s="8">
        <f t="shared" si="39"/>
        <v>5022.0666122436514</v>
      </c>
      <c r="GP11" s="8">
        <f t="shared" si="40"/>
        <v>0</v>
      </c>
      <c r="GQ11" s="8">
        <f t="shared" si="41"/>
        <v>3509.7249999999999</v>
      </c>
      <c r="GR11">
        <f t="shared" si="42"/>
        <v>2007</v>
      </c>
      <c r="GS11" s="8">
        <f t="shared" si="43"/>
        <v>0</v>
      </c>
      <c r="GT11" s="8"/>
      <c r="GU11">
        <f t="shared" si="44"/>
        <v>2007</v>
      </c>
      <c r="GV11" s="8">
        <f t="shared" si="45"/>
        <v>70.656403779983449</v>
      </c>
      <c r="GW11" s="8">
        <f t="shared" si="69"/>
        <v>8531.7916122436509</v>
      </c>
      <c r="GX11" s="11">
        <f t="shared" si="70"/>
        <v>-51.590530153779639</v>
      </c>
      <c r="GY11">
        <v>0</v>
      </c>
      <c r="GZ11">
        <f>GU11</f>
        <v>2007</v>
      </c>
      <c r="HA11" s="8">
        <f>GS11</f>
        <v>0</v>
      </c>
      <c r="HB11" s="8">
        <f>($HA$19*GV11)+($GZ$19*GW11)+($GY$19*GX11)</f>
        <v>14.572445227219305</v>
      </c>
      <c r="HC11" s="8">
        <f t="shared" si="71"/>
        <v>-67.622544936610637</v>
      </c>
    </row>
    <row r="12" spans="1:211" x14ac:dyDescent="0.25">
      <c r="A12" s="1">
        <v>2007</v>
      </c>
      <c r="B12" s="3">
        <v>27.405957380254218</v>
      </c>
      <c r="C12" s="3">
        <v>54.21872337828291</v>
      </c>
      <c r="D12" s="3">
        <v>32.448085030089032</v>
      </c>
      <c r="E12" s="3">
        <v>20.067659613426695</v>
      </c>
      <c r="F12" s="3">
        <v>46.813616927126624</v>
      </c>
      <c r="G12" s="3">
        <v>56.130212726998835</v>
      </c>
      <c r="H12" s="3">
        <v>3.3617021276595747</v>
      </c>
      <c r="I12" s="3">
        <v>20.694042558872955</v>
      </c>
      <c r="J12" s="3">
        <v>0.98723404255319147</v>
      </c>
      <c r="K12" s="3">
        <v>39.246808510638296</v>
      </c>
      <c r="L12" s="3">
        <v>55.927659574468088</v>
      </c>
      <c r="M12" s="3">
        <v>151.66808510638299</v>
      </c>
      <c r="O12" s="11">
        <f t="shared" si="72"/>
        <v>377.36595744680858</v>
      </c>
      <c r="Q12" s="11">
        <f t="shared" si="73"/>
        <v>377.36595744680852</v>
      </c>
      <c r="S12" s="11">
        <f t="shared" si="74"/>
        <v>114.07276578862616</v>
      </c>
      <c r="T12" s="11">
        <f t="shared" si="75"/>
        <v>-57.188643791859477</v>
      </c>
      <c r="Y12">
        <v>1999</v>
      </c>
      <c r="Z12">
        <v>4</v>
      </c>
      <c r="AA12" s="8">
        <v>941.0940490961076</v>
      </c>
      <c r="AB12" s="8">
        <v>23247.621512889862</v>
      </c>
      <c r="AC12" s="8">
        <v>1498.40454101563</v>
      </c>
      <c r="AD12" s="11">
        <v>76.893001645803594</v>
      </c>
      <c r="AL12">
        <v>2008</v>
      </c>
      <c r="AM12" s="8">
        <f>AG126</f>
        <v>8578.3752071929612</v>
      </c>
      <c r="AN12" s="8">
        <f t="shared" ref="AN12:AP12" si="113">AH126</f>
        <v>243.19557511806477</v>
      </c>
      <c r="AO12" s="8">
        <f t="shared" si="113"/>
        <v>20611.92236328125</v>
      </c>
      <c r="AP12" s="8">
        <f t="shared" si="113"/>
        <v>8821.5707823110261</v>
      </c>
      <c r="AQ12" s="8">
        <v>72824</v>
      </c>
      <c r="AR12" s="11">
        <f t="shared" si="13"/>
        <v>72824</v>
      </c>
      <c r="AS12" s="8">
        <v>9811</v>
      </c>
      <c r="AT12">
        <f t="shared" si="14"/>
        <v>22</v>
      </c>
      <c r="AU12" s="8">
        <f t="shared" si="15"/>
        <v>6925.6</v>
      </c>
      <c r="AV12" s="8">
        <f t="shared" si="47"/>
        <v>2885.3999999999996</v>
      </c>
      <c r="AX12">
        <f t="shared" si="16"/>
        <v>2008</v>
      </c>
      <c r="AY12" s="8">
        <f t="shared" si="17"/>
        <v>8578.3752071929612</v>
      </c>
      <c r="AZ12" s="8">
        <f t="shared" si="18"/>
        <v>243.19557511806477</v>
      </c>
      <c r="BA12" s="8">
        <f t="shared" si="19"/>
        <v>20611.92236328125</v>
      </c>
      <c r="BB12" s="8">
        <f t="shared" si="48"/>
        <v>0</v>
      </c>
      <c r="BC12">
        <f t="shared" si="20"/>
        <v>2008</v>
      </c>
      <c r="BD12" s="8">
        <f t="shared" si="49"/>
        <v>2885.3999999999996</v>
      </c>
      <c r="BE12" s="8">
        <f t="shared" si="21"/>
        <v>7172.2278988026064</v>
      </c>
      <c r="BI12">
        <f t="shared" si="1"/>
        <v>2008</v>
      </c>
      <c r="BJ12" s="8">
        <f t="shared" si="2"/>
        <v>8578.3752071929612</v>
      </c>
      <c r="BK12" s="8">
        <f t="shared" si="3"/>
        <v>243.19557511806477</v>
      </c>
      <c r="BL12" s="8">
        <f t="shared" si="50"/>
        <v>0</v>
      </c>
      <c r="BM12" s="8">
        <f t="shared" si="4"/>
        <v>20611.92236328125</v>
      </c>
      <c r="BN12">
        <f t="shared" si="22"/>
        <v>2008</v>
      </c>
      <c r="BO12" s="8">
        <f t="shared" si="5"/>
        <v>2885.3999999999996</v>
      </c>
      <c r="BP12" s="8">
        <f t="shared" si="77"/>
        <v>4954.5498873064153</v>
      </c>
      <c r="BQ12" s="8">
        <f t="shared" si="78"/>
        <v>1545.3314074178456</v>
      </c>
      <c r="BS12">
        <f t="shared" si="23"/>
        <v>2008</v>
      </c>
      <c r="BT12" s="8">
        <f t="shared" si="6"/>
        <v>8578.3752071929612</v>
      </c>
      <c r="BU12" s="8">
        <f t="shared" si="6"/>
        <v>243.19557511806477</v>
      </c>
      <c r="BV12" s="8">
        <f t="shared" si="6"/>
        <v>20611.92236328125</v>
      </c>
      <c r="BW12">
        <v>0</v>
      </c>
      <c r="BX12" s="11">
        <f t="shared" si="51"/>
        <v>2008</v>
      </c>
      <c r="BY12" s="8">
        <f t="shared" si="24"/>
        <v>2885.3999999999996</v>
      </c>
      <c r="BZ12" s="8">
        <f t="shared" si="52"/>
        <v>6660.4994870993605</v>
      </c>
      <c r="CF12">
        <f t="shared" si="25"/>
        <v>2008</v>
      </c>
      <c r="CG12" s="8">
        <f>AG127</f>
        <v>39824.252537019318</v>
      </c>
      <c r="CH12" s="8">
        <f t="shared" ref="CH12:CI12" si="114">AH127</f>
        <v>26289.33711564539</v>
      </c>
      <c r="CI12" s="8">
        <f t="shared" si="114"/>
        <v>20611.92236328125</v>
      </c>
      <c r="CJ12">
        <f t="shared" si="54"/>
        <v>0</v>
      </c>
      <c r="CK12">
        <f t="shared" si="55"/>
        <v>2008</v>
      </c>
      <c r="CL12" s="8">
        <f t="shared" si="56"/>
        <v>2885.3999999999996</v>
      </c>
      <c r="CR12">
        <v>1999</v>
      </c>
      <c r="CS12">
        <v>4</v>
      </c>
      <c r="CT12" s="11">
        <v>24.557667613029459</v>
      </c>
      <c r="CU12" s="11">
        <v>548.48904418945403</v>
      </c>
      <c r="CV12" s="11">
        <v>0</v>
      </c>
      <c r="CW12" s="8">
        <v>1.4571958191692833</v>
      </c>
      <c r="CX12" s="8">
        <v>2.7780107920989406E-4</v>
      </c>
      <c r="CY12" s="8">
        <v>0</v>
      </c>
      <c r="DF12">
        <v>2008</v>
      </c>
      <c r="DG12" s="8">
        <f>DA126</f>
        <v>3949.4099750652917</v>
      </c>
      <c r="DH12" s="8">
        <f t="shared" ref="DH12" si="115">DB126</f>
        <v>3423.1633447914865</v>
      </c>
      <c r="DI12" s="8">
        <f t="shared" ref="DI12" si="116">DC126</f>
        <v>0</v>
      </c>
      <c r="DJ12" s="11">
        <f t="shared" si="59"/>
        <v>2008</v>
      </c>
      <c r="DK12" s="8">
        <v>5978</v>
      </c>
      <c r="DL12" s="8">
        <f t="shared" si="60"/>
        <v>5498.8143906317837</v>
      </c>
      <c r="DN12" s="8">
        <v>10455</v>
      </c>
      <c r="DO12">
        <v>22</v>
      </c>
      <c r="DP12" s="8">
        <f t="shared" si="61"/>
        <v>2921.0526315789475</v>
      </c>
      <c r="DQ12" s="11">
        <v>2008</v>
      </c>
      <c r="DR12" s="8">
        <f t="shared" si="62"/>
        <v>3056.9473684210525</v>
      </c>
      <c r="DS12" s="8">
        <f t="shared" si="29"/>
        <v>3949.4099750652917</v>
      </c>
      <c r="DT12" s="8">
        <f t="shared" si="63"/>
        <v>3423.1633447914865</v>
      </c>
      <c r="DU12" s="8">
        <f t="shared" si="64"/>
        <v>33.711546472402517</v>
      </c>
      <c r="DV12" s="8"/>
      <c r="DW12" s="11">
        <v>2008</v>
      </c>
      <c r="DX12" s="8">
        <f t="shared" si="65"/>
        <v>3056.9473684210525</v>
      </c>
      <c r="DY12" s="8">
        <f t="shared" si="66"/>
        <v>4466.9885504911163</v>
      </c>
      <c r="EB12" s="38">
        <v>2009</v>
      </c>
      <c r="EC12" s="11">
        <v>69.072427961561417</v>
      </c>
      <c r="ED12" s="11">
        <v>124.11604946434743</v>
      </c>
      <c r="EE12" s="11">
        <v>8.233333346284466</v>
      </c>
      <c r="EF12" s="11">
        <v>63.905349684350284</v>
      </c>
      <c r="EG12" s="11">
        <v>39.665432054810076</v>
      </c>
      <c r="EH12" s="11">
        <v>30.94197536201634</v>
      </c>
      <c r="EI12" s="11">
        <v>22.165843610410338</v>
      </c>
      <c r="EJ12" s="11">
        <v>5.4711934234870316</v>
      </c>
      <c r="EK12" s="11">
        <v>33.274485529204945</v>
      </c>
      <c r="EL12" s="11">
        <v>50.121399239748101</v>
      </c>
      <c r="EM12" s="11">
        <v>18.190123459929794</v>
      </c>
      <c r="EN12" s="11">
        <v>115.98271590495797</v>
      </c>
      <c r="EO12" s="11">
        <v>581.1403290411082</v>
      </c>
      <c r="EP12" s="11">
        <f t="shared" si="30"/>
        <v>263.73580236395691</v>
      </c>
      <c r="ES12" s="38">
        <v>2009</v>
      </c>
      <c r="ET12" s="11">
        <v>26.275336308329628</v>
      </c>
      <c r="EU12" s="11">
        <v>181.75112097359559</v>
      </c>
      <c r="EV12" s="11">
        <v>7.6475336599777632</v>
      </c>
      <c r="EW12" s="11">
        <v>39.072645683459633</v>
      </c>
      <c r="EX12" s="11">
        <v>49.326008886499793</v>
      </c>
      <c r="EY12" s="11">
        <v>35.92869951051447</v>
      </c>
      <c r="EZ12" s="11">
        <v>10.876681631456041</v>
      </c>
      <c r="FA12" s="11">
        <v>4.0192825142043587</v>
      </c>
      <c r="FB12" s="11">
        <v>28.56367717623176</v>
      </c>
      <c r="FC12" s="11">
        <v>29.615695115162119</v>
      </c>
      <c r="FD12" s="11">
        <v>9.4143497612444271</v>
      </c>
      <c r="FE12" s="11">
        <v>106.80044825943061</v>
      </c>
      <c r="FF12" s="11">
        <v>529.2914794801062</v>
      </c>
      <c r="FG12" s="11">
        <f t="shared" si="31"/>
        <v>206.81704027877259</v>
      </c>
      <c r="FH12">
        <v>1999</v>
      </c>
      <c r="FI12" s="66">
        <v>5</v>
      </c>
      <c r="FJ12" s="8">
        <v>0</v>
      </c>
      <c r="FK12" s="8">
        <v>0</v>
      </c>
      <c r="FL12" s="8">
        <v>0</v>
      </c>
      <c r="FM12" s="8">
        <v>11.446999999999999</v>
      </c>
      <c r="FS12">
        <f>FN126</f>
        <v>2008</v>
      </c>
      <c r="FT12" s="8">
        <f t="shared" ref="FT12:FV12" si="117">FO126</f>
        <v>2865.2166711539039</v>
      </c>
      <c r="FU12" s="8">
        <f t="shared" si="117"/>
        <v>5947.5590209960937</v>
      </c>
      <c r="FV12" s="8">
        <f t="shared" si="117"/>
        <v>9167.41796875</v>
      </c>
      <c r="FW12" s="11">
        <f t="shared" si="68"/>
        <v>73.261936247985517</v>
      </c>
      <c r="FX12" s="8">
        <f>FR126</f>
        <v>13838.105</v>
      </c>
      <c r="FY12" s="11">
        <f t="shared" si="33"/>
        <v>2008</v>
      </c>
      <c r="FZ12" s="8">
        <v>281.92</v>
      </c>
      <c r="GA12" s="8">
        <f t="shared" si="34"/>
        <v>1496.5569407897942</v>
      </c>
      <c r="GF12">
        <f t="shared" si="8"/>
        <v>2008</v>
      </c>
      <c r="GG12" s="8">
        <f t="shared" si="9"/>
        <v>2865.2166711539039</v>
      </c>
      <c r="GH12" s="8">
        <f t="shared" si="10"/>
        <v>5947.5590209960937</v>
      </c>
      <c r="GI12" s="8">
        <f t="shared" si="11"/>
        <v>73.261936247985517</v>
      </c>
      <c r="GJ12">
        <f t="shared" si="35"/>
        <v>2008</v>
      </c>
      <c r="GK12" s="8">
        <f t="shared" si="36"/>
        <v>281.92</v>
      </c>
      <c r="GM12">
        <f t="shared" si="37"/>
        <v>2008</v>
      </c>
      <c r="GN12" s="8">
        <f t="shared" si="38"/>
        <v>2865.2166711539039</v>
      </c>
      <c r="GO12" s="8">
        <f t="shared" si="39"/>
        <v>5947.5590209960937</v>
      </c>
      <c r="GP12" s="8">
        <f t="shared" si="40"/>
        <v>9167.41796875</v>
      </c>
      <c r="GQ12" s="8">
        <f t="shared" si="41"/>
        <v>13838.105</v>
      </c>
      <c r="GR12">
        <f t="shared" si="42"/>
        <v>2008</v>
      </c>
      <c r="GS12" s="8">
        <f t="shared" si="43"/>
        <v>281.92</v>
      </c>
      <c r="GT12" s="8"/>
      <c r="GU12">
        <f t="shared" si="44"/>
        <v>2008</v>
      </c>
      <c r="GV12" s="8">
        <f t="shared" si="45"/>
        <v>2865.2166711539039</v>
      </c>
      <c r="GW12" s="8">
        <f t="shared" si="69"/>
        <v>28953.081989746093</v>
      </c>
      <c r="GX12" s="11">
        <f t="shared" si="70"/>
        <v>73.261936247985517</v>
      </c>
      <c r="GY12">
        <v>0</v>
      </c>
      <c r="GZ12">
        <f>GU12</f>
        <v>2008</v>
      </c>
      <c r="HA12" s="8">
        <f>GS12</f>
        <v>281.92</v>
      </c>
      <c r="HB12" s="8">
        <f>($HA$19*GV12)+($GZ$19*GW12)+($GY$19*GX12)</f>
        <v>1965.367770904393</v>
      </c>
      <c r="HC12" s="8">
        <f t="shared" si="71"/>
        <v>1603.4076735260082</v>
      </c>
    </row>
    <row r="13" spans="1:211" x14ac:dyDescent="0.25">
      <c r="A13" s="1">
        <v>2008</v>
      </c>
      <c r="B13" s="3">
        <v>66.902127659574475</v>
      </c>
      <c r="C13" s="3">
        <v>91.868085106382978</v>
      </c>
      <c r="D13" s="3">
        <v>11</v>
      </c>
      <c r="E13" s="3">
        <v>7.2340425531914896</v>
      </c>
      <c r="F13" s="3">
        <v>7.957446808510638</v>
      </c>
      <c r="G13" s="3">
        <v>44.131914893617022</v>
      </c>
      <c r="H13" s="3">
        <v>25.693617045625729</v>
      </c>
      <c r="I13" s="3">
        <v>27.101702150385432</v>
      </c>
      <c r="J13" s="3">
        <v>61.105531976578085</v>
      </c>
      <c r="K13" s="3">
        <v>60.371915029972158</v>
      </c>
      <c r="L13" s="3">
        <v>146.33957444860579</v>
      </c>
      <c r="M13" s="3">
        <v>79.30680876386927</v>
      </c>
      <c r="O13" s="11">
        <f t="shared" si="72"/>
        <v>354.99063845441697</v>
      </c>
      <c r="Q13" s="11">
        <f t="shared" si="73"/>
        <v>354.99063845441691</v>
      </c>
      <c r="S13" s="11">
        <f t="shared" si="74"/>
        <v>169.77021276595747</v>
      </c>
      <c r="T13" s="11">
        <f t="shared" si="75"/>
        <v>-1.4911968145281662</v>
      </c>
      <c r="Y13">
        <v>1999</v>
      </c>
      <c r="Z13">
        <v>5</v>
      </c>
      <c r="AA13" s="8">
        <v>0</v>
      </c>
      <c r="AB13" s="8">
        <v>10.889110803604131</v>
      </c>
      <c r="AC13" s="8">
        <v>0</v>
      </c>
      <c r="AD13" s="11">
        <v>79.456101700663709</v>
      </c>
      <c r="AL13">
        <v>2009</v>
      </c>
      <c r="AM13" s="8">
        <f>AG138</f>
        <v>42101.47552774474</v>
      </c>
      <c r="AN13" s="8">
        <f t="shared" ref="AN13:AP13" si="118">AH138</f>
        <v>0</v>
      </c>
      <c r="AO13" s="8">
        <f t="shared" si="118"/>
        <v>10409.841552734375</v>
      </c>
      <c r="AP13" s="8">
        <f t="shared" si="118"/>
        <v>42101.47552774474</v>
      </c>
      <c r="AQ13" s="8">
        <v>82615</v>
      </c>
      <c r="AR13" s="11">
        <f t="shared" si="13"/>
        <v>82615</v>
      </c>
      <c r="AS13" s="8">
        <v>16141</v>
      </c>
      <c r="AT13">
        <f t="shared" si="14"/>
        <v>23</v>
      </c>
      <c r="AU13" s="8">
        <f t="shared" si="15"/>
        <v>6862.4</v>
      </c>
      <c r="AV13" s="8">
        <f t="shared" si="47"/>
        <v>9278.6</v>
      </c>
      <c r="AX13">
        <f t="shared" si="16"/>
        <v>2009</v>
      </c>
      <c r="AY13" s="8">
        <f t="shared" si="17"/>
        <v>42101.47552774474</v>
      </c>
      <c r="AZ13" s="8">
        <f t="shared" si="18"/>
        <v>0</v>
      </c>
      <c r="BA13" s="8">
        <f t="shared" si="19"/>
        <v>10409.841552734375</v>
      </c>
      <c r="BB13" s="8">
        <f t="shared" si="48"/>
        <v>2885.3999999999996</v>
      </c>
      <c r="BC13">
        <f t="shared" si="20"/>
        <v>2009</v>
      </c>
      <c r="BD13" s="8">
        <f t="shared" si="49"/>
        <v>9278.6</v>
      </c>
      <c r="BE13" s="8">
        <f t="shared" si="21"/>
        <v>14352.061638232704</v>
      </c>
      <c r="BI13">
        <f t="shared" si="1"/>
        <v>2009</v>
      </c>
      <c r="BJ13" s="8">
        <f t="shared" si="2"/>
        <v>42101.47552774474</v>
      </c>
      <c r="BK13" s="8">
        <f t="shared" si="3"/>
        <v>0</v>
      </c>
      <c r="BL13" s="8">
        <f t="shared" si="50"/>
        <v>2885.3999999999996</v>
      </c>
      <c r="BM13" s="8">
        <f t="shared" si="4"/>
        <v>10409.841552734375</v>
      </c>
      <c r="BN13">
        <f t="shared" si="22"/>
        <v>2009</v>
      </c>
      <c r="BO13" s="8">
        <f t="shared" si="5"/>
        <v>9278.6</v>
      </c>
      <c r="BP13" s="8">
        <f t="shared" si="77"/>
        <v>9358.3895769972914</v>
      </c>
      <c r="BQ13" s="8">
        <f t="shared" si="78"/>
        <v>7680.6482227433071</v>
      </c>
      <c r="BS13">
        <f t="shared" si="23"/>
        <v>2009</v>
      </c>
      <c r="BT13" s="8">
        <f t="shared" si="6"/>
        <v>42101.47552774474</v>
      </c>
      <c r="BU13" s="8">
        <f t="shared" si="6"/>
        <v>0</v>
      </c>
      <c r="BV13" s="8">
        <f t="shared" si="6"/>
        <v>10409.841552734375</v>
      </c>
      <c r="BW13">
        <v>0</v>
      </c>
      <c r="BX13" s="11">
        <f t="shared" si="51"/>
        <v>2009</v>
      </c>
      <c r="BY13" s="8">
        <f t="shared" si="24"/>
        <v>9278.6</v>
      </c>
      <c r="BZ13" s="8">
        <f t="shared" si="52"/>
        <v>13935.969119896708</v>
      </c>
      <c r="CF13">
        <f t="shared" si="25"/>
        <v>2009</v>
      </c>
      <c r="CG13" s="8">
        <f>AG139</f>
        <v>53495.198041837662</v>
      </c>
      <c r="CH13" s="8">
        <f t="shared" ref="CH13:CI13" si="119">AH139</f>
        <v>21363.088795781154</v>
      </c>
      <c r="CI13" s="8">
        <f t="shared" si="119"/>
        <v>10409.841552734375</v>
      </c>
      <c r="CJ13">
        <f t="shared" si="54"/>
        <v>0</v>
      </c>
      <c r="CK13">
        <f t="shared" si="55"/>
        <v>2009</v>
      </c>
      <c r="CL13" s="8">
        <f t="shared" si="56"/>
        <v>9278.6</v>
      </c>
      <c r="CR13">
        <v>1999</v>
      </c>
      <c r="CS13">
        <v>5</v>
      </c>
      <c r="CT13" s="11">
        <v>0</v>
      </c>
      <c r="CU13" s="11">
        <v>0</v>
      </c>
      <c r="CV13" s="11">
        <v>0</v>
      </c>
      <c r="CW13" s="8">
        <v>39.969874902069577</v>
      </c>
      <c r="CX13" s="8">
        <v>0</v>
      </c>
      <c r="CY13" s="8">
        <v>0</v>
      </c>
      <c r="DF13">
        <v>2009</v>
      </c>
      <c r="DG13" s="8">
        <f>DA138</f>
        <v>4167.4528999146305</v>
      </c>
      <c r="DH13" s="8">
        <f t="shared" ref="DH13" si="120">DB138</f>
        <v>1218.7615014717981</v>
      </c>
      <c r="DI13" s="8">
        <f t="shared" ref="DI13" si="121">DC138</f>
        <v>157.13415527343801</v>
      </c>
      <c r="DJ13" s="11">
        <f t="shared" si="59"/>
        <v>2009</v>
      </c>
      <c r="DK13" s="8">
        <v>6624</v>
      </c>
      <c r="DL13" s="8">
        <f t="shared" si="60"/>
        <v>2983.252038783965</v>
      </c>
      <c r="DN13" s="8">
        <v>13707</v>
      </c>
      <c r="DO13">
        <v>23</v>
      </c>
      <c r="DP13" s="8">
        <f t="shared" si="61"/>
        <v>2894.7368421052633</v>
      </c>
      <c r="DQ13" s="11">
        <v>2009</v>
      </c>
      <c r="DR13" s="8">
        <f t="shared" si="62"/>
        <v>3729.2631578947367</v>
      </c>
      <c r="DS13" s="8">
        <f t="shared" si="29"/>
        <v>4167.4528999146305</v>
      </c>
      <c r="DT13" s="8">
        <f t="shared" si="63"/>
        <v>1375.895656745236</v>
      </c>
      <c r="DU13" s="8">
        <f t="shared" si="64"/>
        <v>-111.94112811035757</v>
      </c>
      <c r="DV13" s="8"/>
      <c r="DW13" s="11">
        <v>2009</v>
      </c>
      <c r="DX13" s="8">
        <f t="shared" si="65"/>
        <v>3729.2631578947367</v>
      </c>
      <c r="DY13" s="8">
        <f t="shared" si="66"/>
        <v>2562.5187896236939</v>
      </c>
      <c r="EB13" s="38">
        <v>2010</v>
      </c>
      <c r="EC13" s="11">
        <v>89.032098652404031</v>
      </c>
      <c r="ED13" s="11">
        <v>82.265020566712678</v>
      </c>
      <c r="EE13" s="11">
        <v>58.423045295746732</v>
      </c>
      <c r="EF13" s="11">
        <v>14.863374492268504</v>
      </c>
      <c r="EG13" s="11">
        <v>47.896707770265181</v>
      </c>
      <c r="EH13" s="11">
        <v>33.874074127448438</v>
      </c>
      <c r="EI13" s="11">
        <v>98.034567467960315</v>
      </c>
      <c r="EJ13" s="11">
        <v>72.003292130835263</v>
      </c>
      <c r="EK13" s="11">
        <v>68.122222162568519</v>
      </c>
      <c r="EL13" s="11">
        <v>78.370370229085282</v>
      </c>
      <c r="EM13" s="11">
        <v>110.73004156669963</v>
      </c>
      <c r="EN13" s="11">
        <v>121.64362134266293</v>
      </c>
      <c r="EO13" s="11">
        <v>875.25843580465744</v>
      </c>
      <c r="EP13" s="11">
        <f t="shared" si="30"/>
        <v>523.89464994713114</v>
      </c>
      <c r="ES13" s="38">
        <v>2010</v>
      </c>
      <c r="ET13" s="11">
        <v>72.609417081413781</v>
      </c>
      <c r="EU13" s="11">
        <v>85.212555923804032</v>
      </c>
      <c r="EV13" s="11">
        <v>98.917489021882886</v>
      </c>
      <c r="EW13" s="11">
        <v>36.202242196942656</v>
      </c>
      <c r="EX13" s="11">
        <v>19.558296015444359</v>
      </c>
      <c r="EY13" s="11">
        <v>14.808071743747044</v>
      </c>
      <c r="EZ13" s="11">
        <v>84.287443973558368</v>
      </c>
      <c r="FA13" s="11">
        <v>40.35291495558392</v>
      </c>
      <c r="FB13" s="11">
        <v>47.559641252184129</v>
      </c>
      <c r="FC13" s="11">
        <v>67.330941529551964</v>
      </c>
      <c r="FD13" s="11">
        <v>138.25605363375402</v>
      </c>
      <c r="FE13" s="11">
        <v>104.16143490915341</v>
      </c>
      <c r="FF13" s="11">
        <v>809.25650223702053</v>
      </c>
      <c r="FG13" s="11">
        <f t="shared" si="31"/>
        <v>448.35560530076646</v>
      </c>
      <c r="FH13">
        <v>1999</v>
      </c>
      <c r="FI13" s="66">
        <v>6</v>
      </c>
      <c r="FJ13" s="8">
        <v>0</v>
      </c>
      <c r="FK13" s="8">
        <v>0</v>
      </c>
      <c r="FL13" s="8">
        <v>0</v>
      </c>
      <c r="FM13" s="8">
        <v>16.478999999999999</v>
      </c>
      <c r="FS13">
        <f>FN138</f>
        <v>2009</v>
      </c>
      <c r="FT13" s="8">
        <f t="shared" ref="FT13:FV13" si="122">FO138</f>
        <v>5469.4884482473117</v>
      </c>
      <c r="FU13" s="8">
        <f t="shared" si="122"/>
        <v>8799.8500616848469</v>
      </c>
      <c r="FV13" s="8">
        <f t="shared" si="122"/>
        <v>4512.4829101562555</v>
      </c>
      <c r="FW13" s="11">
        <f t="shared" si="68"/>
        <v>-36.74479032701916</v>
      </c>
      <c r="FX13" s="8">
        <f>FR138</f>
        <v>9334.2900000000009</v>
      </c>
      <c r="FY13" s="11">
        <f t="shared" si="33"/>
        <v>2009</v>
      </c>
      <c r="FZ13" s="8">
        <v>1883.03</v>
      </c>
      <c r="GA13" s="8">
        <f t="shared" si="34"/>
        <v>2377.8063307857701</v>
      </c>
      <c r="GF13">
        <f t="shared" si="8"/>
        <v>2009</v>
      </c>
      <c r="GG13" s="8">
        <f t="shared" si="9"/>
        <v>5469.4884482473117</v>
      </c>
      <c r="GH13" s="8">
        <f t="shared" si="10"/>
        <v>8799.8500616848469</v>
      </c>
      <c r="GI13" s="8">
        <f t="shared" si="11"/>
        <v>-36.74479032701916</v>
      </c>
      <c r="GJ13">
        <f t="shared" si="35"/>
        <v>2009</v>
      </c>
      <c r="GK13" s="8">
        <f t="shared" si="36"/>
        <v>1883.03</v>
      </c>
      <c r="GM13">
        <f t="shared" si="37"/>
        <v>2009</v>
      </c>
      <c r="GN13" s="8">
        <f t="shared" si="38"/>
        <v>5469.4884482473117</v>
      </c>
      <c r="GO13" s="8">
        <f t="shared" si="39"/>
        <v>8799.8500616848469</v>
      </c>
      <c r="GP13" s="8">
        <f t="shared" si="40"/>
        <v>4512.4829101562555</v>
      </c>
      <c r="GQ13" s="8">
        <f t="shared" si="41"/>
        <v>9334.2900000000009</v>
      </c>
      <c r="GR13">
        <f t="shared" si="42"/>
        <v>2009</v>
      </c>
      <c r="GS13" s="8">
        <f t="shared" si="43"/>
        <v>1883.03</v>
      </c>
      <c r="GT13" s="8"/>
      <c r="GU13">
        <f t="shared" si="44"/>
        <v>2009</v>
      </c>
      <c r="GV13" s="8">
        <f t="shared" si="45"/>
        <v>5469.4884482473117</v>
      </c>
      <c r="GW13" s="8">
        <f t="shared" si="69"/>
        <v>22646.622971841105</v>
      </c>
      <c r="GX13" s="11">
        <f t="shared" si="70"/>
        <v>-36.74479032701916</v>
      </c>
      <c r="GY13">
        <v>0</v>
      </c>
      <c r="GZ13">
        <f>GU13</f>
        <v>2009</v>
      </c>
      <c r="HA13" s="8">
        <f>GS13</f>
        <v>1883.03</v>
      </c>
      <c r="HB13" s="8">
        <f>($HA$19*GV13)+($GZ$19*GW13)+($GY$19*GX13)</f>
        <v>1641.2875900537215</v>
      </c>
      <c r="HC13" s="8">
        <f t="shared" si="71"/>
        <v>1398.6121101600891</v>
      </c>
    </row>
    <row r="14" spans="1:211" x14ac:dyDescent="0.25">
      <c r="A14" s="1">
        <v>2009</v>
      </c>
      <c r="B14" s="3">
        <v>27.701702085454414</v>
      </c>
      <c r="C14" s="3">
        <v>94.827233984115281</v>
      </c>
      <c r="D14" s="3">
        <v>6.8153191723722095</v>
      </c>
      <c r="E14" s="3">
        <v>50.116595816104969</v>
      </c>
      <c r="F14" s="3">
        <v>36.903404154676075</v>
      </c>
      <c r="G14" s="3">
        <v>20.424255281813601</v>
      </c>
      <c r="H14" s="3">
        <v>14.328936146675272</v>
      </c>
      <c r="I14" s="3">
        <v>4.3208510672792473</v>
      </c>
      <c r="J14" s="3">
        <v>29.293616980694711</v>
      </c>
      <c r="K14" s="3">
        <v>68.035744703576924</v>
      </c>
      <c r="L14" s="3">
        <v>7.9880851299204725</v>
      </c>
      <c r="M14" s="3">
        <v>137.47702141619743</v>
      </c>
      <c r="O14" s="11">
        <f t="shared" si="72"/>
        <v>385.58638306069884</v>
      </c>
      <c r="Q14" s="11">
        <f t="shared" si="73"/>
        <v>385.58638306069884</v>
      </c>
      <c r="S14" s="11">
        <f t="shared" si="74"/>
        <v>129.34425524194191</v>
      </c>
      <c r="T14" s="11">
        <f t="shared" si="75"/>
        <v>-41.917154338543725</v>
      </c>
      <c r="Y14">
        <v>1999</v>
      </c>
      <c r="Z14">
        <v>6</v>
      </c>
      <c r="AA14" s="8">
        <v>0</v>
      </c>
      <c r="AB14" s="8">
        <v>47.416297771036611</v>
      </c>
      <c r="AC14" s="8">
        <v>0</v>
      </c>
      <c r="AD14" s="11">
        <v>76.893001645803594</v>
      </c>
      <c r="AL14">
        <v>2010</v>
      </c>
      <c r="AM14" s="8">
        <f>AG150</f>
        <v>8923.1271967589837</v>
      </c>
      <c r="AN14" s="8">
        <f t="shared" ref="AN14:AP14" si="123">AH150</f>
        <v>22696.373115494855</v>
      </c>
      <c r="AO14" s="8">
        <f t="shared" si="123"/>
        <v>18301.053855896011</v>
      </c>
      <c r="AP14" s="8">
        <f t="shared" si="123"/>
        <v>31619.50031225384</v>
      </c>
      <c r="AQ14" s="8">
        <v>30495</v>
      </c>
      <c r="AR14" s="11">
        <f t="shared" si="13"/>
        <v>30495</v>
      </c>
      <c r="AS14" s="8">
        <v>33742</v>
      </c>
      <c r="AT14">
        <f t="shared" si="14"/>
        <v>101</v>
      </c>
      <c r="AU14" s="8">
        <f t="shared" si="15"/>
        <v>2000</v>
      </c>
      <c r="AV14" s="8">
        <f t="shared" si="47"/>
        <v>31742</v>
      </c>
      <c r="AX14">
        <f t="shared" si="16"/>
        <v>2010</v>
      </c>
      <c r="AY14" s="8">
        <f t="shared" si="17"/>
        <v>8923.1271967589837</v>
      </c>
      <c r="AZ14" s="8">
        <f t="shared" si="18"/>
        <v>22696.373115494855</v>
      </c>
      <c r="BA14" s="8">
        <f t="shared" si="19"/>
        <v>18301.053855896011</v>
      </c>
      <c r="BB14" s="8">
        <f t="shared" si="48"/>
        <v>9278.6</v>
      </c>
      <c r="BC14">
        <f t="shared" si="20"/>
        <v>2010</v>
      </c>
      <c r="BD14" s="8">
        <f t="shared" si="49"/>
        <v>31742</v>
      </c>
      <c r="BE14" s="8">
        <f t="shared" si="21"/>
        <v>30510.79989231451</v>
      </c>
      <c r="BI14">
        <f t="shared" si="1"/>
        <v>2010</v>
      </c>
      <c r="BJ14" s="8">
        <f t="shared" si="2"/>
        <v>8923.1271967589837</v>
      </c>
      <c r="BK14" s="8">
        <f t="shared" si="3"/>
        <v>22696.373115494855</v>
      </c>
      <c r="BL14" s="8">
        <f t="shared" si="50"/>
        <v>9278.6</v>
      </c>
      <c r="BM14" s="8">
        <f t="shared" si="4"/>
        <v>18301.053855896011</v>
      </c>
      <c r="BN14">
        <f t="shared" si="22"/>
        <v>2010</v>
      </c>
      <c r="BO14" s="8">
        <f t="shared" si="5"/>
        <v>31742</v>
      </c>
      <c r="BP14" s="8">
        <f t="shared" si="77"/>
        <v>27926.976628358909</v>
      </c>
      <c r="BQ14" s="8">
        <f t="shared" si="78"/>
        <v>27678.258032379978</v>
      </c>
      <c r="BS14">
        <f t="shared" si="23"/>
        <v>2010</v>
      </c>
      <c r="BT14" s="8">
        <f t="shared" si="6"/>
        <v>8923.1271967589837</v>
      </c>
      <c r="BU14" s="8">
        <f t="shared" si="6"/>
        <v>22696.373115494855</v>
      </c>
      <c r="BV14" s="8">
        <f t="shared" si="6"/>
        <v>18301.053855896011</v>
      </c>
      <c r="BW14">
        <v>0</v>
      </c>
      <c r="BX14" s="11">
        <f t="shared" si="51"/>
        <v>2010</v>
      </c>
      <c r="BY14" s="8">
        <f t="shared" si="24"/>
        <v>31742</v>
      </c>
      <c r="BZ14" s="8">
        <f t="shared" si="52"/>
        <v>30739.722569066922</v>
      </c>
      <c r="CF14">
        <f t="shared" si="25"/>
        <v>2010</v>
      </c>
      <c r="CG14" s="8">
        <f>AG151</f>
        <v>94662.721135050058</v>
      </c>
      <c r="CH14" s="8">
        <f t="shared" ref="CH14:CI14" si="124">AH151</f>
        <v>37195.462507620461</v>
      </c>
      <c r="CI14" s="8">
        <f t="shared" si="124"/>
        <v>18301.053855896011</v>
      </c>
      <c r="CJ14">
        <f t="shared" si="54"/>
        <v>0</v>
      </c>
      <c r="CK14">
        <f t="shared" si="55"/>
        <v>2010</v>
      </c>
      <c r="CL14" s="8">
        <f t="shared" si="56"/>
        <v>31742</v>
      </c>
      <c r="CR14">
        <v>1999</v>
      </c>
      <c r="CS14">
        <v>6</v>
      </c>
      <c r="CT14" s="11">
        <v>0</v>
      </c>
      <c r="CU14" s="11">
        <v>0</v>
      </c>
      <c r="CV14" s="11">
        <v>0</v>
      </c>
      <c r="CW14" s="8">
        <v>20.349252626299872</v>
      </c>
      <c r="CX14" s="8">
        <v>0.98637422770261685</v>
      </c>
      <c r="CY14" s="8">
        <v>0</v>
      </c>
      <c r="DF14">
        <v>2010</v>
      </c>
      <c r="DG14" s="8">
        <f>DA150</f>
        <v>6289.2258965864803</v>
      </c>
      <c r="DH14" s="8">
        <f t="shared" ref="DH14" si="125">DB150</f>
        <v>7340.2833999683116</v>
      </c>
      <c r="DI14" s="8">
        <f t="shared" ref="DI14" si="126">DC150</f>
        <v>1095.8706054687525</v>
      </c>
      <c r="DJ14" s="11">
        <f t="shared" si="59"/>
        <v>2010</v>
      </c>
      <c r="DK14" s="8">
        <v>10612</v>
      </c>
      <c r="DL14" s="8">
        <f t="shared" si="60"/>
        <v>12297.877404569963</v>
      </c>
      <c r="DN14" s="8">
        <v>10533</v>
      </c>
      <c r="DO14">
        <v>101</v>
      </c>
      <c r="DP14" s="8">
        <f t="shared" si="61"/>
        <v>1000</v>
      </c>
      <c r="DQ14" s="11">
        <v>2010</v>
      </c>
      <c r="DR14" s="8">
        <f t="shared" si="62"/>
        <v>9612</v>
      </c>
      <c r="DS14" s="8">
        <f t="shared" si="29"/>
        <v>6289.2258965864803</v>
      </c>
      <c r="DT14" s="8">
        <f t="shared" si="63"/>
        <v>8436.1540054370635</v>
      </c>
      <c r="DU14" s="8">
        <f t="shared" si="64"/>
        <v>148.21771947281667</v>
      </c>
      <c r="DV14" s="8"/>
      <c r="DW14" s="11">
        <v>2010</v>
      </c>
      <c r="DX14" s="8">
        <f t="shared" si="65"/>
        <v>9612</v>
      </c>
      <c r="DY14" s="8">
        <f t="shared" si="66"/>
        <v>9984.7064737764649</v>
      </c>
      <c r="EB14" s="38">
        <v>2011</v>
      </c>
      <c r="EC14" s="11">
        <v>57.039917651517889</v>
      </c>
      <c r="ED14" s="11">
        <v>42.146090597772798</v>
      </c>
      <c r="EE14" s="11">
        <v>47.27613160247175</v>
      </c>
      <c r="EF14" s="11">
        <v>41.336213994909215</v>
      </c>
      <c r="EG14" s="11">
        <v>39.197119324295606</v>
      </c>
      <c r="EH14" s="11">
        <v>39.191358008993014</v>
      </c>
      <c r="EI14" s="11">
        <v>5.7658436141386931</v>
      </c>
      <c r="EJ14" s="11">
        <v>49.257201740280593</v>
      </c>
      <c r="EK14" s="11">
        <v>93.147736443413635</v>
      </c>
      <c r="EL14" s="11">
        <v>67.651440341776777</v>
      </c>
      <c r="EM14" s="11">
        <v>212.62181078749919</v>
      </c>
      <c r="EN14" s="11">
        <v>147.75678969018253</v>
      </c>
      <c r="EO14" s="11">
        <v>842.38765379725169</v>
      </c>
      <c r="EP14" s="11">
        <f t="shared" si="30"/>
        <v>548.16872425530676</v>
      </c>
      <c r="ES14" s="38">
        <v>2011</v>
      </c>
      <c r="ET14" s="11">
        <v>22.706278005522996</v>
      </c>
      <c r="EU14" s="11">
        <v>20.295515671973806</v>
      </c>
      <c r="EV14" s="11">
        <v>24.85381166603533</v>
      </c>
      <c r="EW14" s="11">
        <v>13.096412556053812</v>
      </c>
      <c r="EX14" s="11">
        <v>20.053363214159226</v>
      </c>
      <c r="EY14" s="11">
        <v>30.371748979850736</v>
      </c>
      <c r="EZ14" s="11">
        <v>14.053811674160807</v>
      </c>
      <c r="FA14" s="11">
        <v>23.863677088989807</v>
      </c>
      <c r="FB14" s="11">
        <v>55.219730839066443</v>
      </c>
      <c r="FC14" s="11">
        <v>29.756950669224487</v>
      </c>
      <c r="FD14" s="11">
        <v>75.747533447539325</v>
      </c>
      <c r="FE14" s="11">
        <v>105.99013478232071</v>
      </c>
      <c r="FF14" s="11">
        <v>436.00896859489745</v>
      </c>
      <c r="FG14" s="11">
        <f t="shared" si="31"/>
        <v>262.16322846904467</v>
      </c>
      <c r="FH14">
        <v>1999</v>
      </c>
      <c r="FI14" s="66">
        <v>7</v>
      </c>
      <c r="FJ14" s="8">
        <v>0</v>
      </c>
      <c r="FK14" s="8">
        <v>0</v>
      </c>
      <c r="FL14" s="8">
        <v>0</v>
      </c>
      <c r="FM14" s="8">
        <v>191.32</v>
      </c>
      <c r="FS14">
        <f>FN150</f>
        <v>2010</v>
      </c>
      <c r="FT14" s="8">
        <f t="shared" ref="FT14:FV14" si="127">FO150</f>
        <v>3506.592018127441</v>
      </c>
      <c r="FU14" s="8">
        <f t="shared" si="127"/>
        <v>14380.485397338867</v>
      </c>
      <c r="FV14" s="8">
        <f t="shared" si="127"/>
        <v>8609.1755371093805</v>
      </c>
      <c r="FW14" s="11">
        <f t="shared" si="68"/>
        <v>204.7937746949747</v>
      </c>
      <c r="FX14" s="8">
        <f>FR150</f>
        <v>24196.59</v>
      </c>
      <c r="FY14" s="11">
        <f t="shared" si="33"/>
        <v>2010</v>
      </c>
      <c r="FZ14" s="8">
        <v>3683.23</v>
      </c>
      <c r="GA14" s="8">
        <f t="shared" si="34"/>
        <v>3163.6892949872645</v>
      </c>
      <c r="GF14">
        <f t="shared" si="8"/>
        <v>2010</v>
      </c>
      <c r="GG14" s="8">
        <f t="shared" si="9"/>
        <v>3506.592018127441</v>
      </c>
      <c r="GH14" s="8">
        <f t="shared" si="10"/>
        <v>14380.485397338867</v>
      </c>
      <c r="GI14" s="8">
        <f t="shared" si="11"/>
        <v>204.7937746949747</v>
      </c>
      <c r="GJ14">
        <f t="shared" si="35"/>
        <v>2010</v>
      </c>
      <c r="GK14" s="8">
        <f t="shared" si="36"/>
        <v>3683.23</v>
      </c>
      <c r="GM14">
        <f t="shared" si="37"/>
        <v>2010</v>
      </c>
      <c r="GN14" s="8">
        <f t="shared" si="38"/>
        <v>3506.592018127441</v>
      </c>
      <c r="GO14" s="8">
        <f t="shared" si="39"/>
        <v>14380.485397338867</v>
      </c>
      <c r="GP14" s="8">
        <f t="shared" si="40"/>
        <v>8609.1755371093805</v>
      </c>
      <c r="GQ14" s="8">
        <f t="shared" si="41"/>
        <v>24196.59</v>
      </c>
      <c r="GR14">
        <f t="shared" si="42"/>
        <v>2010</v>
      </c>
      <c r="GS14" s="8">
        <f t="shared" si="43"/>
        <v>3683.23</v>
      </c>
      <c r="GT14" s="8"/>
      <c r="GU14">
        <f t="shared" si="44"/>
        <v>2010</v>
      </c>
      <c r="GV14" s="8">
        <f t="shared" si="45"/>
        <v>3506.592018127441</v>
      </c>
      <c r="GW14" s="8">
        <f t="shared" si="69"/>
        <v>47186.250934448253</v>
      </c>
      <c r="GX14" s="11">
        <f t="shared" si="70"/>
        <v>204.7937746949747</v>
      </c>
      <c r="GY14">
        <v>0</v>
      </c>
      <c r="GZ14">
        <f>GU14</f>
        <v>2010</v>
      </c>
      <c r="HA14" s="8">
        <f>GS14</f>
        <v>3683.23</v>
      </c>
      <c r="HB14" s="8">
        <f>($HA$19*GV14)+($GZ$19*GW14)+($GY$19*GX14)</f>
        <v>3456.0255080315155</v>
      </c>
      <c r="HC14" s="8">
        <f t="shared" si="71"/>
        <v>2833.1680921807101</v>
      </c>
    </row>
    <row r="15" spans="1:211" x14ac:dyDescent="0.25">
      <c r="A15" s="1">
        <v>2010</v>
      </c>
      <c r="B15" s="3">
        <v>80.470212863353979</v>
      </c>
      <c r="C15" s="3">
        <v>91.324680864050038</v>
      </c>
      <c r="D15" s="3">
        <v>68.326382787176897</v>
      </c>
      <c r="E15" s="3">
        <v>25.864680829961248</v>
      </c>
      <c r="F15" s="3">
        <v>23.858723368543259</v>
      </c>
      <c r="G15" s="3">
        <v>24.72000000324655</v>
      </c>
      <c r="H15" s="3">
        <v>87.031063777842419</v>
      </c>
      <c r="I15" s="3">
        <v>51.355744901616525</v>
      </c>
      <c r="J15" s="3">
        <v>43.978297813902508</v>
      </c>
      <c r="K15" s="3">
        <v>64.40893617995242</v>
      </c>
      <c r="L15" s="3">
        <v>136.10085140796417</v>
      </c>
      <c r="M15" s="3">
        <v>156.18127691390666</v>
      </c>
      <c r="O15" s="11">
        <f t="shared" si="72"/>
        <v>384.80255376531716</v>
      </c>
      <c r="Q15" s="11">
        <f t="shared" si="73"/>
        <v>384.80255376531716</v>
      </c>
      <c r="S15" s="11">
        <f t="shared" si="74"/>
        <v>240.12127651458093</v>
      </c>
      <c r="T15" s="11">
        <f t="shared" si="75"/>
        <v>68.859866934095294</v>
      </c>
      <c r="Y15">
        <v>1999</v>
      </c>
      <c r="Z15">
        <v>7</v>
      </c>
      <c r="AA15" s="8">
        <v>1456.2344007492065</v>
      </c>
      <c r="AB15" s="8">
        <v>0</v>
      </c>
      <c r="AC15" s="8">
        <v>0</v>
      </c>
      <c r="AD15" s="11">
        <v>79.456101700663709</v>
      </c>
      <c r="AL15">
        <v>2011</v>
      </c>
      <c r="AM15" s="8">
        <f>AG162</f>
        <v>62136.600147303201</v>
      </c>
      <c r="AN15" s="8">
        <f t="shared" ref="AN15:AP15" si="128">AH162</f>
        <v>5530.5031929016131</v>
      </c>
      <c r="AO15" s="8">
        <f t="shared" si="128"/>
        <v>5695.1415023803711</v>
      </c>
      <c r="AP15" s="8">
        <f t="shared" si="128"/>
        <v>67667.10334020482</v>
      </c>
      <c r="AQ15" s="8">
        <v>32858</v>
      </c>
      <c r="AR15" s="11">
        <f t="shared" si="13"/>
        <v>32858</v>
      </c>
      <c r="AS15" s="8">
        <v>36615</v>
      </c>
      <c r="AT15">
        <f t="shared" si="14"/>
        <v>100</v>
      </c>
      <c r="AU15" s="8">
        <f t="shared" si="15"/>
        <v>1996</v>
      </c>
      <c r="AV15" s="8">
        <f t="shared" si="47"/>
        <v>34619</v>
      </c>
      <c r="AX15">
        <f t="shared" si="16"/>
        <v>2011</v>
      </c>
      <c r="AY15" s="8">
        <f t="shared" si="17"/>
        <v>62136.600147303201</v>
      </c>
      <c r="AZ15" s="8">
        <f t="shared" si="18"/>
        <v>5530.5031929016131</v>
      </c>
      <c r="BA15" s="8">
        <f t="shared" si="19"/>
        <v>5695.1415023803711</v>
      </c>
      <c r="BB15" s="8">
        <f t="shared" si="48"/>
        <v>31742</v>
      </c>
      <c r="BC15">
        <f t="shared" si="20"/>
        <v>2011</v>
      </c>
      <c r="BD15" s="8">
        <f t="shared" si="49"/>
        <v>34619</v>
      </c>
      <c r="BE15" s="8">
        <f t="shared" si="21"/>
        <v>24942.180148338724</v>
      </c>
      <c r="BI15">
        <f t="shared" si="1"/>
        <v>2011</v>
      </c>
      <c r="BJ15" s="8">
        <f t="shared" si="2"/>
        <v>62136.600147303201</v>
      </c>
      <c r="BK15" s="8">
        <f t="shared" si="3"/>
        <v>5530.5031929016131</v>
      </c>
      <c r="BL15" s="8">
        <f t="shared" si="50"/>
        <v>31742</v>
      </c>
      <c r="BM15" s="8">
        <f t="shared" si="4"/>
        <v>5695.1415023803711</v>
      </c>
      <c r="BN15">
        <f t="shared" si="22"/>
        <v>2011</v>
      </c>
      <c r="BO15" s="8">
        <f t="shared" si="5"/>
        <v>34619</v>
      </c>
      <c r="BP15" s="8">
        <f t="shared" si="77"/>
        <v>26115.903529382031</v>
      </c>
      <c r="BQ15" s="8">
        <f t="shared" si="78"/>
        <v>28818.168209788091</v>
      </c>
      <c r="BS15">
        <f t="shared" si="23"/>
        <v>2011</v>
      </c>
      <c r="BT15" s="8">
        <f t="shared" si="6"/>
        <v>62136.600147303201</v>
      </c>
      <c r="BU15" s="8">
        <f t="shared" si="6"/>
        <v>5530.5031929016131</v>
      </c>
      <c r="BV15" s="8">
        <f t="shared" si="6"/>
        <v>5695.1415023803711</v>
      </c>
      <c r="BW15">
        <v>0</v>
      </c>
      <c r="BX15" s="11">
        <f t="shared" si="51"/>
        <v>2011</v>
      </c>
      <c r="BY15" s="8">
        <f t="shared" si="24"/>
        <v>34619</v>
      </c>
      <c r="BZ15" s="8">
        <f t="shared" si="52"/>
        <v>24724.622150479725</v>
      </c>
      <c r="CF15">
        <f t="shared" si="25"/>
        <v>2011</v>
      </c>
      <c r="CG15" s="8">
        <f>AG163</f>
        <v>76093.460153218359</v>
      </c>
      <c r="CH15" s="8">
        <f t="shared" ref="CH15:CI15" si="129">AH163</f>
        <v>33420.907275319099</v>
      </c>
      <c r="CI15" s="8">
        <f t="shared" si="129"/>
        <v>5695.1415023803711</v>
      </c>
      <c r="CJ15">
        <f t="shared" si="54"/>
        <v>0</v>
      </c>
      <c r="CK15">
        <f t="shared" si="55"/>
        <v>2011</v>
      </c>
      <c r="CL15" s="8">
        <f t="shared" si="56"/>
        <v>34619</v>
      </c>
      <c r="CR15">
        <v>1999</v>
      </c>
      <c r="CS15">
        <v>7</v>
      </c>
      <c r="CT15" s="11">
        <v>0</v>
      </c>
      <c r="CU15" s="11">
        <v>0</v>
      </c>
      <c r="CV15" s="11">
        <v>0</v>
      </c>
      <c r="CW15" s="8">
        <v>35.042578537762196</v>
      </c>
      <c r="CX15" s="8">
        <v>0</v>
      </c>
      <c r="CY15" s="8">
        <v>0</v>
      </c>
      <c r="DF15">
        <v>2011</v>
      </c>
      <c r="DG15" s="8">
        <f>DA162</f>
        <v>4180.371726743062</v>
      </c>
      <c r="DH15" s="8">
        <f t="shared" ref="DH15" si="130">DB162</f>
        <v>3767.978732650583</v>
      </c>
      <c r="DI15" s="8">
        <f t="shared" ref="DI15" si="131">DC162</f>
        <v>3220.6158691406254</v>
      </c>
      <c r="DJ15" s="11">
        <f t="shared" si="59"/>
        <v>2011</v>
      </c>
      <c r="DK15" s="8">
        <v>14376.820000000003</v>
      </c>
      <c r="DL15" s="8">
        <f t="shared" si="60"/>
        <v>9475.8183386994551</v>
      </c>
      <c r="DN15" s="8">
        <v>7328</v>
      </c>
      <c r="DO15">
        <v>100</v>
      </c>
      <c r="DP15" s="8">
        <f t="shared" si="61"/>
        <v>1000</v>
      </c>
      <c r="DQ15" s="11">
        <v>2011</v>
      </c>
      <c r="DR15" s="8">
        <f t="shared" si="62"/>
        <v>13376.820000000003</v>
      </c>
      <c r="DS15" s="8">
        <f t="shared" si="29"/>
        <v>4180.371726743062</v>
      </c>
      <c r="DT15" s="8">
        <f t="shared" si="63"/>
        <v>6988.5946017912083</v>
      </c>
      <c r="DU15" s="8">
        <f t="shared" si="64"/>
        <v>172.49179378099228</v>
      </c>
      <c r="DV15" s="8"/>
      <c r="DW15" s="11">
        <v>2011</v>
      </c>
      <c r="DX15" s="8">
        <f t="shared" si="65"/>
        <v>13376.820000000003</v>
      </c>
      <c r="DY15" s="8">
        <f t="shared" si="66"/>
        <v>7965.2951148117327</v>
      </c>
      <c r="EB15" s="38">
        <v>2012</v>
      </c>
      <c r="EC15" s="11">
        <v>166.81604964644819</v>
      </c>
      <c r="ED15" s="11">
        <v>213.1069966696908</v>
      </c>
      <c r="EE15" s="11">
        <v>13.256378641834965</v>
      </c>
      <c r="EF15" s="11">
        <v>29.558024653682001</v>
      </c>
      <c r="EG15" s="11">
        <v>47.788888939123588</v>
      </c>
      <c r="EH15" s="11">
        <v>41.534156383310325</v>
      </c>
      <c r="EI15" s="11">
        <v>104.05144036061479</v>
      </c>
      <c r="EJ15" s="11">
        <v>14.385596703109428</v>
      </c>
      <c r="EK15" s="11">
        <v>15.186831327132237</v>
      </c>
      <c r="EL15" s="11">
        <v>13.84156377815906</v>
      </c>
      <c r="EM15" s="11">
        <v>26.719341533174241</v>
      </c>
      <c r="EN15" s="11">
        <v>68.655555489622515</v>
      </c>
      <c r="EO15" s="11">
        <v>754.9008241259022</v>
      </c>
      <c r="EP15" s="11">
        <f t="shared" si="30"/>
        <v>293.06584367830573</v>
      </c>
      <c r="ES15" s="38">
        <v>2012</v>
      </c>
      <c r="ET15" s="11">
        <v>146.71479814469546</v>
      </c>
      <c r="EU15" s="11">
        <v>130.02735401375946</v>
      </c>
      <c r="EV15" s="11">
        <v>42.909417032660926</v>
      </c>
      <c r="EW15" s="11">
        <v>17.307174887892376</v>
      </c>
      <c r="EX15" s="11">
        <v>35.115246614533156</v>
      </c>
      <c r="EY15" s="11">
        <v>27.200896763480831</v>
      </c>
      <c r="EZ15" s="11">
        <v>52.509865542698336</v>
      </c>
      <c r="FA15" s="11">
        <v>5.3668161379382218</v>
      </c>
      <c r="FB15" s="11">
        <v>12.994618825313756</v>
      </c>
      <c r="FC15" s="11">
        <v>2.1869955375590133</v>
      </c>
      <c r="FD15" s="11">
        <v>16.065022427939514</v>
      </c>
      <c r="FE15" s="11">
        <v>26.312555997360981</v>
      </c>
      <c r="FF15" s="11">
        <v>514.710761925832</v>
      </c>
      <c r="FG15" s="11">
        <f t="shared" si="31"/>
        <v>168.7466367373552</v>
      </c>
      <c r="FH15">
        <v>1999</v>
      </c>
      <c r="FI15" s="66">
        <v>8</v>
      </c>
      <c r="FJ15" s="8">
        <v>166.94569349288946</v>
      </c>
      <c r="FK15" s="8">
        <v>0</v>
      </c>
      <c r="FL15" s="8">
        <v>0</v>
      </c>
      <c r="FM15" s="8">
        <v>0</v>
      </c>
      <c r="FS15">
        <f>FN162</f>
        <v>2011</v>
      </c>
      <c r="FT15" s="8">
        <f t="shared" ref="FT15:FV15" si="132">FO162</f>
        <v>5846.0408204197884</v>
      </c>
      <c r="FU15" s="8">
        <f t="shared" si="132"/>
        <v>8481.5216827392596</v>
      </c>
      <c r="FV15" s="8">
        <f t="shared" si="132"/>
        <v>222.7578125</v>
      </c>
      <c r="FW15" s="11">
        <f t="shared" si="68"/>
        <v>18.601397863252913</v>
      </c>
      <c r="FX15" s="8">
        <f>FR162</f>
        <v>13302.724</v>
      </c>
      <c r="FY15" s="11">
        <f t="shared" si="33"/>
        <v>2011</v>
      </c>
      <c r="FZ15" s="8">
        <v>3316.78</v>
      </c>
      <c r="GA15" s="8">
        <f t="shared" si="34"/>
        <v>2368.1521112166965</v>
      </c>
      <c r="GF15">
        <f t="shared" si="8"/>
        <v>2011</v>
      </c>
      <c r="GG15" s="8">
        <f t="shared" si="9"/>
        <v>5846.0408204197884</v>
      </c>
      <c r="GH15" s="8">
        <f t="shared" si="10"/>
        <v>8481.5216827392596</v>
      </c>
      <c r="GI15" s="8">
        <f t="shared" si="11"/>
        <v>18.601397863252913</v>
      </c>
      <c r="GJ15">
        <f t="shared" si="35"/>
        <v>2011</v>
      </c>
      <c r="GK15" s="8">
        <f t="shared" si="36"/>
        <v>3316.78</v>
      </c>
      <c r="GM15">
        <f t="shared" si="37"/>
        <v>2011</v>
      </c>
      <c r="GN15" s="8">
        <f t="shared" si="38"/>
        <v>5846.0408204197884</v>
      </c>
      <c r="GO15" s="8">
        <f t="shared" si="39"/>
        <v>8481.5216827392596</v>
      </c>
      <c r="GP15" s="8">
        <f t="shared" si="40"/>
        <v>222.7578125</v>
      </c>
      <c r="GQ15" s="8">
        <f t="shared" si="41"/>
        <v>13302.724</v>
      </c>
      <c r="GR15">
        <f t="shared" si="42"/>
        <v>2011</v>
      </c>
      <c r="GS15" s="8">
        <f t="shared" si="43"/>
        <v>3316.78</v>
      </c>
      <c r="GT15" s="8"/>
      <c r="GU15">
        <f t="shared" si="44"/>
        <v>2011</v>
      </c>
      <c r="GV15" s="8">
        <f t="shared" si="45"/>
        <v>5846.0408204197884</v>
      </c>
      <c r="GW15" s="8">
        <f t="shared" si="69"/>
        <v>22007.00349523926</v>
      </c>
      <c r="GX15" s="11">
        <f t="shared" si="70"/>
        <v>18.601397863252913</v>
      </c>
      <c r="GY15">
        <v>1</v>
      </c>
      <c r="GZ15">
        <f>GU15</f>
        <v>2011</v>
      </c>
      <c r="HA15" s="8">
        <f>GS15</f>
        <v>3316.78</v>
      </c>
      <c r="HB15" s="8">
        <f>($HA$19*GV15)+($GZ$19*GW15)+($GY$19*GX15)</f>
        <v>2005.4478801567116</v>
      </c>
      <c r="HC15" s="8">
        <f t="shared" si="71"/>
        <v>3671.4723084461157</v>
      </c>
    </row>
    <row r="16" spans="1:211" x14ac:dyDescent="0.25">
      <c r="A16" s="1">
        <v>2011</v>
      </c>
      <c r="B16" s="3">
        <v>28.909361664792325</v>
      </c>
      <c r="C16" s="3">
        <v>21.314468038843032</v>
      </c>
      <c r="D16" s="3">
        <v>42.296595739811025</v>
      </c>
      <c r="E16" s="3">
        <v>25.768936084179167</v>
      </c>
      <c r="F16" s="3">
        <v>33.257872285234164</v>
      </c>
      <c r="G16" s="3">
        <v>34.549361793031082</v>
      </c>
      <c r="H16" s="3">
        <v>4.7710637995537288</v>
      </c>
      <c r="I16" s="3">
        <v>35.277872247898834</v>
      </c>
      <c r="J16" s="3">
        <v>73.985957320193023</v>
      </c>
      <c r="K16" s="3">
        <v>52.780425562757124</v>
      </c>
      <c r="L16" s="3">
        <v>132.03446807861329</v>
      </c>
      <c r="M16" s="3">
        <v>125.32127675807223</v>
      </c>
      <c r="O16" s="11">
        <f t="shared" si="72"/>
        <v>544.04212801710082</v>
      </c>
      <c r="Q16" s="11">
        <f t="shared" si="73"/>
        <v>544.04212801710082</v>
      </c>
      <c r="S16" s="11">
        <f t="shared" si="74"/>
        <v>92.520425443446385</v>
      </c>
      <c r="T16" s="11">
        <f t="shared" si="75"/>
        <v>-78.740984137039248</v>
      </c>
      <c r="Y16">
        <v>1999</v>
      </c>
      <c r="Z16">
        <v>8</v>
      </c>
      <c r="AA16" s="8">
        <v>3083.6343870162955</v>
      </c>
      <c r="AB16" s="8">
        <v>0</v>
      </c>
      <c r="AC16" s="8">
        <v>0</v>
      </c>
      <c r="AD16" s="11">
        <v>79.456101700663709</v>
      </c>
      <c r="AL16">
        <v>2012</v>
      </c>
      <c r="AM16" s="8">
        <f>AG174</f>
        <v>42197.41046712175</v>
      </c>
      <c r="AN16" s="8">
        <f t="shared" ref="AN16:AP16" si="133">AH174</f>
        <v>10660.014741897581</v>
      </c>
      <c r="AO16" s="8">
        <f t="shared" si="133"/>
        <v>77339.025890350342</v>
      </c>
      <c r="AP16" s="8">
        <f t="shared" si="133"/>
        <v>52857.425209019333</v>
      </c>
      <c r="AQ16" s="8">
        <v>57792</v>
      </c>
      <c r="AR16" s="11">
        <f t="shared" si="13"/>
        <v>57792</v>
      </c>
      <c r="AS16" s="8">
        <v>38789</v>
      </c>
      <c r="AT16">
        <f t="shared" si="14"/>
        <v>196</v>
      </c>
      <c r="AU16" s="8">
        <f t="shared" si="15"/>
        <v>2000</v>
      </c>
      <c r="AV16" s="8">
        <f t="shared" si="47"/>
        <v>36789</v>
      </c>
      <c r="AX16">
        <f t="shared" si="16"/>
        <v>2012</v>
      </c>
      <c r="AY16" s="8">
        <f t="shared" si="17"/>
        <v>42197.41046712175</v>
      </c>
      <c r="AZ16" s="8">
        <f t="shared" si="18"/>
        <v>10660.014741897581</v>
      </c>
      <c r="BA16" s="8">
        <f t="shared" si="19"/>
        <v>77339.025890350342</v>
      </c>
      <c r="BB16" s="8">
        <f t="shared" si="48"/>
        <v>34619</v>
      </c>
      <c r="BC16">
        <f t="shared" si="20"/>
        <v>2012</v>
      </c>
      <c r="BD16" s="8">
        <f t="shared" si="49"/>
        <v>36789</v>
      </c>
      <c r="BE16" s="8">
        <f t="shared" si="21"/>
        <v>40094.812600354271</v>
      </c>
      <c r="BI16">
        <f t="shared" si="1"/>
        <v>2012</v>
      </c>
      <c r="BJ16" s="8">
        <f t="shared" si="2"/>
        <v>42197.41046712175</v>
      </c>
      <c r="BK16" s="8">
        <f t="shared" si="3"/>
        <v>10660.014741897581</v>
      </c>
      <c r="BL16" s="8">
        <f t="shared" si="50"/>
        <v>34619</v>
      </c>
      <c r="BM16" s="8">
        <f t="shared" si="4"/>
        <v>77339.025890350342</v>
      </c>
      <c r="BN16">
        <f t="shared" si="22"/>
        <v>2012</v>
      </c>
      <c r="BO16" s="8">
        <f t="shared" si="5"/>
        <v>36789</v>
      </c>
      <c r="BP16" s="8">
        <f t="shared" si="77"/>
        <v>40189.721812975316</v>
      </c>
      <c r="BQ16" s="8">
        <f t="shared" si="78"/>
        <v>32070.846715286796</v>
      </c>
      <c r="BS16">
        <f t="shared" si="23"/>
        <v>2012</v>
      </c>
      <c r="BT16" s="8">
        <f t="shared" si="6"/>
        <v>42197.41046712175</v>
      </c>
      <c r="BU16" s="8">
        <f t="shared" si="6"/>
        <v>10660.014741897581</v>
      </c>
      <c r="BV16" s="8">
        <f t="shared" si="6"/>
        <v>77339.025890350342</v>
      </c>
      <c r="BW16">
        <v>0</v>
      </c>
      <c r="BX16" s="11">
        <f t="shared" si="51"/>
        <v>2012</v>
      </c>
      <c r="BY16" s="8">
        <f t="shared" si="24"/>
        <v>36789</v>
      </c>
      <c r="BZ16" s="8">
        <f t="shared" si="52"/>
        <v>38432.523425502106</v>
      </c>
      <c r="CF16">
        <f t="shared" si="25"/>
        <v>2012</v>
      </c>
      <c r="CG16" s="8">
        <f>AG175</f>
        <v>209873.64854118598</v>
      </c>
      <c r="CH16" s="8">
        <f t="shared" ref="CH16:CI16" si="134">AH175</f>
        <v>29989.58543160557</v>
      </c>
      <c r="CI16" s="8">
        <f t="shared" si="134"/>
        <v>77339.025890350342</v>
      </c>
      <c r="CJ16">
        <f t="shared" si="54"/>
        <v>0</v>
      </c>
      <c r="CK16">
        <f t="shared" si="55"/>
        <v>2012</v>
      </c>
      <c r="CL16" s="8">
        <f t="shared" si="56"/>
        <v>36789</v>
      </c>
      <c r="CR16">
        <v>1999</v>
      </c>
      <c r="CS16">
        <v>8</v>
      </c>
      <c r="CT16" s="11">
        <v>0</v>
      </c>
      <c r="CU16" s="11">
        <v>0</v>
      </c>
      <c r="CV16" s="11">
        <v>0</v>
      </c>
      <c r="CW16" s="8">
        <v>46.125921295583261</v>
      </c>
      <c r="CX16" s="8">
        <v>127.37242183950735</v>
      </c>
      <c r="CY16" s="8">
        <v>0</v>
      </c>
      <c r="DF16">
        <v>2012</v>
      </c>
      <c r="DG16" s="8">
        <f>DA174</f>
        <v>19301.630135324576</v>
      </c>
      <c r="DH16" s="8">
        <f t="shared" ref="DH16" si="135">DB174</f>
        <v>5377.0099593767682</v>
      </c>
      <c r="DI16" s="8">
        <f t="shared" ref="DI16" si="136">DC174</f>
        <v>884.30447998046952</v>
      </c>
      <c r="DJ16" s="11">
        <f t="shared" si="59"/>
        <v>2012</v>
      </c>
      <c r="DK16" s="8">
        <v>14547.700000000003</v>
      </c>
      <c r="DL16" s="8">
        <f t="shared" si="60"/>
        <v>13651.584719617826</v>
      </c>
      <c r="DN16" s="8">
        <v>15962</v>
      </c>
      <c r="DO16">
        <v>196</v>
      </c>
      <c r="DP16" s="8">
        <f t="shared" si="61"/>
        <v>1000</v>
      </c>
      <c r="DQ16" s="11">
        <v>2012</v>
      </c>
      <c r="DR16" s="8">
        <f t="shared" si="62"/>
        <v>13547.700000000003</v>
      </c>
      <c r="DS16" s="8">
        <f t="shared" si="29"/>
        <v>19301.630135324576</v>
      </c>
      <c r="DT16" s="8">
        <f t="shared" si="63"/>
        <v>6261.3144393572375</v>
      </c>
      <c r="DU16" s="8">
        <f t="shared" si="64"/>
        <v>-82.611086796008749</v>
      </c>
      <c r="DV16" s="8"/>
      <c r="DW16" s="11">
        <v>2012</v>
      </c>
      <c r="DX16" s="8">
        <f t="shared" si="65"/>
        <v>13547.700000000003</v>
      </c>
      <c r="DY16" s="8">
        <f t="shared" si="66"/>
        <v>11761.413977721419</v>
      </c>
      <c r="EB16" s="38">
        <v>2013</v>
      </c>
      <c r="EC16" s="11">
        <v>165.18024698893228</v>
      </c>
      <c r="ED16" s="11">
        <v>59.992181110774538</v>
      </c>
      <c r="EE16" s="11">
        <v>102.35884781825689</v>
      </c>
      <c r="EF16" s="11">
        <v>4.5222222194259549</v>
      </c>
      <c r="EG16" s="11">
        <v>32.744855951379847</v>
      </c>
      <c r="EH16" s="11">
        <v>87.003703694284695</v>
      </c>
      <c r="EI16" s="11">
        <v>32.631687219250843</v>
      </c>
      <c r="EJ16" s="11">
        <v>7.5209876519662364</v>
      </c>
      <c r="EK16" s="11">
        <v>26.100000032181601</v>
      </c>
      <c r="EL16" s="11">
        <v>11.384362154046205</v>
      </c>
      <c r="EM16" s="11">
        <v>79.369135585832012</v>
      </c>
      <c r="EN16" s="11">
        <v>21.283127584575134</v>
      </c>
      <c r="EO16" s="11">
        <v>630.09135801090633</v>
      </c>
      <c r="EP16" s="11">
        <f t="shared" si="30"/>
        <v>281.2769545083674</v>
      </c>
      <c r="ES16" s="38">
        <v>2013</v>
      </c>
      <c r="ET16" s="11">
        <v>26.092825074901494</v>
      </c>
      <c r="EU16" s="11">
        <v>18.977578458230056</v>
      </c>
      <c r="EV16" s="11">
        <v>78.936771409928525</v>
      </c>
      <c r="EW16" s="11">
        <v>0.4461883436136716</v>
      </c>
      <c r="EX16" s="11">
        <v>25.042600948179786</v>
      </c>
      <c r="EY16" s="11">
        <v>16.540358752947753</v>
      </c>
      <c r="EZ16" s="11">
        <v>19.517937181241845</v>
      </c>
      <c r="FA16" s="11">
        <v>1.8408071615236223</v>
      </c>
      <c r="FB16" s="11">
        <v>22.530044795151785</v>
      </c>
      <c r="FC16" s="11">
        <v>3.2022421640665542</v>
      </c>
      <c r="FD16" s="11">
        <v>21.142600908407715</v>
      </c>
      <c r="FE16" s="11">
        <v>6.7139013615424323</v>
      </c>
      <c r="FF16" s="11">
        <v>240.98385655973524</v>
      </c>
      <c r="FG16" s="11">
        <f t="shared" si="31"/>
        <v>110.26278025513274</v>
      </c>
      <c r="FH16">
        <v>1999</v>
      </c>
      <c r="FI16" s="66">
        <v>9</v>
      </c>
      <c r="FJ16" s="8">
        <v>292.40044116973985</v>
      </c>
      <c r="FK16" s="8">
        <v>0</v>
      </c>
      <c r="FL16" s="8">
        <v>0</v>
      </c>
      <c r="FM16" s="8">
        <v>2.5526</v>
      </c>
      <c r="FS16">
        <f>FN174</f>
        <v>2012</v>
      </c>
      <c r="FT16" s="8">
        <f t="shared" ref="FT16:FV16" si="137">FO174</f>
        <v>17267.026354461912</v>
      </c>
      <c r="FU16" s="8">
        <f t="shared" si="137"/>
        <v>12320.932079315187</v>
      </c>
      <c r="FV16" s="8">
        <f t="shared" si="137"/>
        <v>9823.648193359375</v>
      </c>
      <c r="FW16" s="11">
        <f t="shared" si="68"/>
        <v>-74.815193868436552</v>
      </c>
      <c r="FX16" s="8">
        <f>FR174</f>
        <v>12974.795700000001</v>
      </c>
      <c r="FY16" s="11">
        <f t="shared" si="33"/>
        <v>2012</v>
      </c>
      <c r="FZ16" s="8">
        <v>4725.9800000000005</v>
      </c>
      <c r="GA16" s="8">
        <f t="shared" si="34"/>
        <v>4606.6546926676128</v>
      </c>
      <c r="GF16">
        <f t="shared" si="8"/>
        <v>2012</v>
      </c>
      <c r="GG16" s="8">
        <f t="shared" si="9"/>
        <v>17267.026354461912</v>
      </c>
      <c r="GH16" s="8">
        <f t="shared" si="10"/>
        <v>12320.932079315187</v>
      </c>
      <c r="GI16" s="8">
        <f t="shared" si="11"/>
        <v>-74.815193868436552</v>
      </c>
      <c r="GJ16">
        <f t="shared" si="35"/>
        <v>2012</v>
      </c>
      <c r="GK16" s="8">
        <f t="shared" si="36"/>
        <v>4725.9800000000005</v>
      </c>
      <c r="GM16">
        <f t="shared" si="37"/>
        <v>2012</v>
      </c>
      <c r="GN16" s="8">
        <f t="shared" si="38"/>
        <v>17267.026354461912</v>
      </c>
      <c r="GO16" s="8">
        <f t="shared" si="39"/>
        <v>12320.932079315187</v>
      </c>
      <c r="GP16" s="8">
        <f t="shared" si="40"/>
        <v>9823.648193359375</v>
      </c>
      <c r="GQ16" s="8">
        <f t="shared" si="41"/>
        <v>12974.795700000001</v>
      </c>
      <c r="GR16">
        <f t="shared" si="42"/>
        <v>2012</v>
      </c>
      <c r="GS16" s="8">
        <f t="shared" si="43"/>
        <v>4725.9800000000005</v>
      </c>
      <c r="GT16" s="8"/>
      <c r="GU16">
        <f t="shared" si="44"/>
        <v>2012</v>
      </c>
      <c r="GV16" s="8">
        <f t="shared" si="45"/>
        <v>17267.026354461912</v>
      </c>
      <c r="GW16" s="8">
        <f t="shared" si="69"/>
        <v>35119.375972674563</v>
      </c>
      <c r="GX16" s="11">
        <f t="shared" si="70"/>
        <v>-74.815193868436552</v>
      </c>
      <c r="GY16">
        <v>0</v>
      </c>
      <c r="GZ16">
        <f>GU16</f>
        <v>2012</v>
      </c>
      <c r="HA16" s="8">
        <f>GS16</f>
        <v>4725.9800000000005</v>
      </c>
      <c r="HB16" s="8">
        <f>($HA$19*GV16)+($GZ$19*GW16)+($GY$19*GX16)</f>
        <v>4170.6580064333148</v>
      </c>
      <c r="HC16" s="8">
        <f t="shared" si="71"/>
        <v>3819.4162481828948</v>
      </c>
    </row>
    <row r="17" spans="1:220" x14ac:dyDescent="0.25">
      <c r="A17" s="1">
        <v>2012</v>
      </c>
      <c r="B17" s="3">
        <v>137.70638323844747</v>
      </c>
      <c r="C17" s="3">
        <v>123.68297862600772</v>
      </c>
      <c r="D17" s="3">
        <v>25.297021315960173</v>
      </c>
      <c r="E17" s="3">
        <v>23.142127657951193</v>
      </c>
      <c r="F17" s="3">
        <v>47.136595770653258</v>
      </c>
      <c r="G17" s="3">
        <v>31.81021282926519</v>
      </c>
      <c r="H17" s="3">
        <v>67.117021309061258</v>
      </c>
      <c r="I17" s="3">
        <v>9.248085121398276</v>
      </c>
      <c r="J17" s="3">
        <v>12.363829744623063</v>
      </c>
      <c r="K17" s="3">
        <v>5.3434042504493222</v>
      </c>
      <c r="L17" s="3">
        <v>14.982127668502484</v>
      </c>
      <c r="M17" s="3">
        <v>33.70212760275983</v>
      </c>
      <c r="O17" s="11">
        <f t="shared" si="72"/>
        <v>209.6272339800571</v>
      </c>
      <c r="Q17" s="11">
        <f t="shared" si="73"/>
        <v>209.6272339800571</v>
      </c>
      <c r="S17" s="11">
        <f t="shared" si="74"/>
        <v>286.68638318041536</v>
      </c>
      <c r="T17" s="11">
        <f t="shared" si="75"/>
        <v>115.42497359992973</v>
      </c>
      <c r="Y17">
        <v>1999</v>
      </c>
      <c r="Z17">
        <v>9</v>
      </c>
      <c r="AA17" s="8">
        <v>22569.073976039894</v>
      </c>
      <c r="AB17" s="8">
        <v>0</v>
      </c>
      <c r="AC17" s="8">
        <v>0</v>
      </c>
      <c r="AD17" s="11">
        <v>76.866156637668752</v>
      </c>
      <c r="AL17">
        <v>2013</v>
      </c>
      <c r="AM17" s="8">
        <f>AG186</f>
        <v>77861.226407803144</v>
      </c>
      <c r="AN17" s="8">
        <f t="shared" ref="AN17:AP17" si="138">AH186</f>
        <v>5593.591249942785</v>
      </c>
      <c r="AO17" s="8">
        <f t="shared" si="138"/>
        <v>24514.600662231445</v>
      </c>
      <c r="AP17" s="8">
        <f t="shared" si="138"/>
        <v>83454.817657745923</v>
      </c>
      <c r="AQ17" s="8">
        <v>100983</v>
      </c>
      <c r="AR17" s="11">
        <f t="shared" si="13"/>
        <v>100983</v>
      </c>
      <c r="AS17" s="8">
        <v>37891</v>
      </c>
      <c r="AT17">
        <f t="shared" si="14"/>
        <v>83</v>
      </c>
      <c r="AU17" s="8">
        <f t="shared" si="15"/>
        <v>3070.3999999999996</v>
      </c>
      <c r="AV17" s="8">
        <f t="shared" si="47"/>
        <v>34820.6</v>
      </c>
      <c r="AX17">
        <f t="shared" si="16"/>
        <v>2013</v>
      </c>
      <c r="AY17" s="8">
        <f t="shared" si="17"/>
        <v>77861.226407803144</v>
      </c>
      <c r="AZ17" s="8">
        <f t="shared" si="18"/>
        <v>5593.591249942785</v>
      </c>
      <c r="BA17" s="8">
        <f t="shared" si="19"/>
        <v>24514.600662231445</v>
      </c>
      <c r="BB17" s="8">
        <f t="shared" si="48"/>
        <v>36789</v>
      </c>
      <c r="BC17">
        <f t="shared" si="20"/>
        <v>2013</v>
      </c>
      <c r="BD17" s="8">
        <f t="shared" si="49"/>
        <v>34820.6</v>
      </c>
      <c r="BE17" s="8">
        <f t="shared" si="21"/>
        <v>33591.878276775431</v>
      </c>
      <c r="BI17">
        <f t="shared" si="1"/>
        <v>2013</v>
      </c>
      <c r="BJ17" s="8">
        <f t="shared" si="2"/>
        <v>77861.226407803144</v>
      </c>
      <c r="BK17" s="8">
        <f t="shared" si="3"/>
        <v>5593.591249942785</v>
      </c>
      <c r="BL17" s="8">
        <f t="shared" si="50"/>
        <v>36789</v>
      </c>
      <c r="BM17" s="8">
        <f t="shared" si="4"/>
        <v>24514.600662231445</v>
      </c>
      <c r="BN17">
        <f t="shared" si="22"/>
        <v>2013</v>
      </c>
      <c r="BO17" s="8">
        <f t="shared" si="5"/>
        <v>34820.6</v>
      </c>
      <c r="BP17" s="8">
        <f t="shared" si="77"/>
        <v>33388.155192574231</v>
      </c>
      <c r="BQ17" s="8">
        <f t="shared" si="78"/>
        <v>33490.673515538045</v>
      </c>
      <c r="BS17">
        <f t="shared" si="23"/>
        <v>2013</v>
      </c>
      <c r="BT17" s="8">
        <f t="shared" si="6"/>
        <v>77861.226407803144</v>
      </c>
      <c r="BU17" s="8">
        <f t="shared" si="6"/>
        <v>5593.591249942785</v>
      </c>
      <c r="BV17" s="8">
        <f t="shared" si="6"/>
        <v>24514.600662231445</v>
      </c>
      <c r="BW17">
        <v>0</v>
      </c>
      <c r="BX17" s="11">
        <f t="shared" si="51"/>
        <v>2013</v>
      </c>
      <c r="BY17" s="8">
        <f t="shared" si="24"/>
        <v>34820.6</v>
      </c>
      <c r="BZ17" s="8">
        <f t="shared" si="52"/>
        <v>32870.06758248456</v>
      </c>
      <c r="CF17">
        <f t="shared" si="25"/>
        <v>2013</v>
      </c>
      <c r="CG17" s="8">
        <f>AG187</f>
        <v>176093.09383420603</v>
      </c>
      <c r="CH17" s="8">
        <f t="shared" ref="CH17:CI17" si="139">AH187</f>
        <v>7381.9186019897516</v>
      </c>
      <c r="CI17" s="8">
        <f t="shared" si="139"/>
        <v>24514.600662231445</v>
      </c>
      <c r="CJ17">
        <f t="shared" si="54"/>
        <v>0</v>
      </c>
      <c r="CK17">
        <f t="shared" si="55"/>
        <v>2013</v>
      </c>
      <c r="CL17" s="8">
        <f t="shared" si="56"/>
        <v>34820.6</v>
      </c>
      <c r="CR17">
        <v>1999</v>
      </c>
      <c r="CS17">
        <v>9</v>
      </c>
      <c r="CT17" s="11">
        <v>921.21983671188343</v>
      </c>
      <c r="CU17" s="11">
        <v>0</v>
      </c>
      <c r="CV17" s="11">
        <v>0</v>
      </c>
      <c r="CW17" s="8">
        <v>1166.0923671283758</v>
      </c>
      <c r="CX17" s="8">
        <v>102.36988144516943</v>
      </c>
      <c r="CY17" s="8">
        <v>0</v>
      </c>
      <c r="DF17">
        <v>2013</v>
      </c>
      <c r="DG17" s="8">
        <f>DA186</f>
        <v>24893.499012588705</v>
      </c>
      <c r="DH17" s="8">
        <f t="shared" ref="DH17" si="140">DB186</f>
        <v>3611.4804052146437</v>
      </c>
      <c r="DI17" s="8">
        <f t="shared" ref="DI17" si="141">DC186</f>
        <v>1735.8706420898488</v>
      </c>
      <c r="DJ17" s="11">
        <f t="shared" si="59"/>
        <v>2013</v>
      </c>
      <c r="DK17" s="8">
        <v>9514.9699999999993</v>
      </c>
      <c r="DL17" s="8">
        <f t="shared" si="60"/>
        <v>14099.066451010485</v>
      </c>
      <c r="DN17" s="8">
        <v>17165</v>
      </c>
      <c r="DO17">
        <v>83</v>
      </c>
      <c r="DP17" s="8">
        <f t="shared" si="61"/>
        <v>1315.7894736842109</v>
      </c>
      <c r="DQ17" s="11">
        <v>2013</v>
      </c>
      <c r="DR17" s="8">
        <f t="shared" si="62"/>
        <v>8199.1805263157876</v>
      </c>
      <c r="DS17" s="8">
        <f t="shared" si="29"/>
        <v>24893.499012588705</v>
      </c>
      <c r="DT17" s="8">
        <f t="shared" si="63"/>
        <v>5347.3510473044926</v>
      </c>
      <c r="DU17" s="8">
        <f t="shared" si="64"/>
        <v>-94.399975965947078</v>
      </c>
      <c r="DV17" s="8"/>
      <c r="DW17" s="11">
        <v>2013</v>
      </c>
      <c r="DX17" s="8">
        <f t="shared" si="65"/>
        <v>8199.1805263157876</v>
      </c>
      <c r="DY17" s="8">
        <f t="shared" si="66"/>
        <v>12544.777575396232</v>
      </c>
      <c r="EB17" s="38">
        <v>2014</v>
      </c>
      <c r="EC17" s="11">
        <v>17.601234535130946</v>
      </c>
      <c r="ED17" s="11">
        <v>55.537037052735378</v>
      </c>
      <c r="EE17" s="11">
        <v>151.3185182422277</v>
      </c>
      <c r="EF17" s="11">
        <v>10.199176962974141</v>
      </c>
      <c r="EG17" s="11">
        <v>19.048148143438645</v>
      </c>
      <c r="EH17" s="11">
        <v>59.776131649566778</v>
      </c>
      <c r="EI17" s="11">
        <v>9.4827160678282691</v>
      </c>
      <c r="EJ17" s="11">
        <v>68.510288089391139</v>
      </c>
      <c r="EK17" s="11">
        <v>14.475720150480544</v>
      </c>
      <c r="EL17" s="11">
        <v>11.710288039941355</v>
      </c>
      <c r="EM17" s="11">
        <v>22.523868348863388</v>
      </c>
      <c r="EN17" s="11">
        <v>82.929218213744619</v>
      </c>
      <c r="EO17" s="11">
        <v>523.11234549632286</v>
      </c>
      <c r="EP17" s="11">
        <f t="shared" si="30"/>
        <v>215.72633745248424</v>
      </c>
      <c r="ES17" s="38">
        <v>2014</v>
      </c>
      <c r="ET17" s="11">
        <v>6.9493273587504847</v>
      </c>
      <c r="EU17" s="11">
        <v>23.492376716682195</v>
      </c>
      <c r="EV17" s="11">
        <v>54.004035829963172</v>
      </c>
      <c r="EW17" s="11">
        <v>21.502242135360103</v>
      </c>
      <c r="EX17" s="11">
        <v>8.4618834048643237</v>
      </c>
      <c r="EY17" s="11">
        <v>35.636771232023371</v>
      </c>
      <c r="EZ17" s="11">
        <v>10.305829612663508</v>
      </c>
      <c r="FA17" s="11">
        <v>35.079820735572163</v>
      </c>
      <c r="FB17" s="11">
        <v>18.82600895920142</v>
      </c>
      <c r="FC17" s="11">
        <v>2.4309417137650633</v>
      </c>
      <c r="FD17" s="11">
        <v>16.40717491440709</v>
      </c>
      <c r="FE17" s="11">
        <v>51.591479724832716</v>
      </c>
      <c r="FF17" s="11">
        <v>284.68789233808559</v>
      </c>
      <c r="FG17" s="11">
        <f t="shared" si="31"/>
        <v>148.65067270785704</v>
      </c>
      <c r="FH17">
        <v>1999</v>
      </c>
      <c r="FI17" s="66">
        <v>10</v>
      </c>
      <c r="FJ17" s="8">
        <v>13.008920669555669</v>
      </c>
      <c r="FK17" s="8">
        <v>1899</v>
      </c>
      <c r="FL17" s="8">
        <v>0</v>
      </c>
      <c r="FM17" s="8">
        <v>5201.8999999999996</v>
      </c>
      <c r="FS17">
        <f>FN186</f>
        <v>2013</v>
      </c>
      <c r="FT17" s="8">
        <f t="shared" ref="FT17:FV17" si="142">FO186</f>
        <v>6243.2475784812123</v>
      </c>
      <c r="FU17" s="8">
        <f t="shared" si="142"/>
        <v>9343.4546184539795</v>
      </c>
      <c r="FV17" s="8">
        <f t="shared" si="142"/>
        <v>9741.510986328125</v>
      </c>
      <c r="FW17" s="11">
        <f t="shared" si="68"/>
        <v>-133.299050350659</v>
      </c>
      <c r="FX17" s="8">
        <f>FR186</f>
        <v>14457.0375</v>
      </c>
      <c r="FY17" s="11">
        <f t="shared" si="33"/>
        <v>2013</v>
      </c>
      <c r="FZ17" s="8">
        <v>3478.4399999999996</v>
      </c>
      <c r="GA17" s="8">
        <f t="shared" si="34"/>
        <v>2582.6398986963013</v>
      </c>
      <c r="GF17">
        <f t="shared" si="8"/>
        <v>2013</v>
      </c>
      <c r="GG17" s="8">
        <f t="shared" si="9"/>
        <v>6243.2475784812123</v>
      </c>
      <c r="GH17" s="8">
        <f t="shared" si="10"/>
        <v>9343.4546184539795</v>
      </c>
      <c r="GI17" s="8">
        <f t="shared" si="11"/>
        <v>-133.299050350659</v>
      </c>
      <c r="GJ17">
        <f t="shared" si="35"/>
        <v>2013</v>
      </c>
      <c r="GK17" s="8">
        <f t="shared" si="36"/>
        <v>3478.4399999999996</v>
      </c>
      <c r="GM17">
        <f t="shared" si="37"/>
        <v>2013</v>
      </c>
      <c r="GN17" s="8">
        <f t="shared" si="38"/>
        <v>6243.2475784812123</v>
      </c>
      <c r="GO17" s="8">
        <f t="shared" si="39"/>
        <v>9343.4546184539795</v>
      </c>
      <c r="GP17" s="8">
        <f t="shared" si="40"/>
        <v>9741.510986328125</v>
      </c>
      <c r="GQ17" s="8">
        <f t="shared" si="41"/>
        <v>14457.0375</v>
      </c>
      <c r="GR17">
        <f t="shared" si="42"/>
        <v>2013</v>
      </c>
      <c r="GS17" s="8">
        <f t="shared" si="43"/>
        <v>3478.4399999999996</v>
      </c>
      <c r="GT17" s="8"/>
      <c r="GU17">
        <f t="shared" si="44"/>
        <v>2013</v>
      </c>
      <c r="GV17" s="8">
        <f t="shared" si="45"/>
        <v>6243.2475784812123</v>
      </c>
      <c r="GW17" s="8">
        <f t="shared" si="69"/>
        <v>33542.003104782103</v>
      </c>
      <c r="GX17" s="11">
        <f t="shared" si="70"/>
        <v>-133.299050350659</v>
      </c>
      <c r="GY17">
        <v>1</v>
      </c>
      <c r="GZ17">
        <f>GU17</f>
        <v>2013</v>
      </c>
      <c r="HA17" s="8">
        <f>GS17</f>
        <v>3478.4399999999996</v>
      </c>
      <c r="HB17" s="8">
        <f>($HA$19*GV17)+($GZ$19*GW17)+($GY$19*GX17)</f>
        <v>1621.2608807093607</v>
      </c>
      <c r="HC17" s="8">
        <f t="shared" si="71"/>
        <v>3206.1169797831708</v>
      </c>
    </row>
    <row r="18" spans="1:220" x14ac:dyDescent="0.25">
      <c r="A18" s="1">
        <v>2013</v>
      </c>
      <c r="B18" s="3">
        <v>56.491063763232944</v>
      </c>
      <c r="C18" s="3">
        <v>31.748510563627203</v>
      </c>
      <c r="D18" s="3">
        <v>72.703404381934632</v>
      </c>
      <c r="E18" s="3">
        <v>0.80808511186153331</v>
      </c>
      <c r="F18" s="3">
        <v>35.784680622181995</v>
      </c>
      <c r="G18" s="3">
        <v>35.23319151046428</v>
      </c>
      <c r="H18" s="3">
        <v>22.33957448107131</v>
      </c>
      <c r="I18" s="3">
        <v>1.8140425476622075</v>
      </c>
      <c r="J18" s="3">
        <v>23.212340496956035</v>
      </c>
      <c r="K18" s="3">
        <v>3.9459574466056013</v>
      </c>
      <c r="L18" s="3">
        <v>33.712340310279359</v>
      </c>
      <c r="M18" s="3">
        <v>11.94978721699816</v>
      </c>
      <c r="O18" s="11">
        <f t="shared" si="72"/>
        <v>203.46680840532832</v>
      </c>
      <c r="Q18" s="11">
        <f t="shared" si="73"/>
        <v>203.46680840532832</v>
      </c>
      <c r="S18" s="11">
        <f t="shared" si="74"/>
        <v>160.94297870879478</v>
      </c>
      <c r="T18" s="11">
        <f t="shared" si="75"/>
        <v>-10.31843087169085</v>
      </c>
      <c r="Y18">
        <v>1999</v>
      </c>
      <c r="Z18">
        <v>10</v>
      </c>
      <c r="AA18" s="8">
        <v>24.250551223754901</v>
      </c>
      <c r="AB18" s="8">
        <v>2070.417320489883</v>
      </c>
      <c r="AC18" s="8">
        <v>0</v>
      </c>
      <c r="AD18" s="11">
        <v>79.443593338132032</v>
      </c>
      <c r="AF18">
        <f>Y18</f>
        <v>1999</v>
      </c>
      <c r="AG18" s="8">
        <f>SUM(AA15:AA19)</f>
        <v>27133.193315029152</v>
      </c>
      <c r="AH18" s="8">
        <f>SUM(AB15:AB19)</f>
        <v>25926.904123574503</v>
      </c>
      <c r="AI18" s="8">
        <f>SUM(AC7:AC18)</f>
        <v>1535.293945312505</v>
      </c>
      <c r="AJ18" s="8">
        <f>AG18+AH18</f>
        <v>53060.097438603654</v>
      </c>
      <c r="AY18" t="s">
        <v>144</v>
      </c>
      <c r="AZ18" t="s">
        <v>251</v>
      </c>
      <c r="BA18" t="s">
        <v>250</v>
      </c>
      <c r="BB18" t="s">
        <v>260</v>
      </c>
      <c r="BJ18" t="s">
        <v>144</v>
      </c>
      <c r="BK18" t="s">
        <v>270</v>
      </c>
      <c r="BL18" t="s">
        <v>251</v>
      </c>
      <c r="BM18" t="s">
        <v>250</v>
      </c>
      <c r="BN18" t="s">
        <v>260</v>
      </c>
      <c r="BS18" t="s">
        <v>208</v>
      </c>
      <c r="BT18" s="23" t="s">
        <v>568</v>
      </c>
      <c r="BU18" s="23" t="s">
        <v>144</v>
      </c>
      <c r="BV18" s="23" t="s">
        <v>251</v>
      </c>
      <c r="BW18" s="23" t="s">
        <v>250</v>
      </c>
      <c r="CR18">
        <v>1999</v>
      </c>
      <c r="CS18">
        <v>10</v>
      </c>
      <c r="CT18" s="11">
        <v>0</v>
      </c>
      <c r="CU18" s="11">
        <v>512.12780761718784</v>
      </c>
      <c r="CV18" s="11">
        <v>0</v>
      </c>
      <c r="CW18" s="8">
        <v>227.40104467272761</v>
      </c>
      <c r="CX18" s="8">
        <v>1519.8578540495596</v>
      </c>
      <c r="CY18" s="8">
        <v>0</v>
      </c>
      <c r="CZ18">
        <f>CR18</f>
        <v>1999</v>
      </c>
      <c r="DA18" s="8">
        <f>SUM(CT15:CT23)+SUM(CW15:CW23)</f>
        <v>20730.640384290651</v>
      </c>
      <c r="DB18" s="8">
        <f>SUM(CU8:CU19)+SUM(CX8:CX19)</f>
        <v>4057.7020274506554</v>
      </c>
      <c r="DC18" s="8">
        <f>SUM(CV8:CV19)+SUM(CY8:CY19)</f>
        <v>0</v>
      </c>
      <c r="DG18" t="s">
        <v>144</v>
      </c>
      <c r="DH18" t="s">
        <v>309</v>
      </c>
      <c r="DI18" t="s">
        <v>308</v>
      </c>
      <c r="DS18" s="23" t="s">
        <v>422</v>
      </c>
      <c r="DT18" s="23" t="s">
        <v>271</v>
      </c>
      <c r="EB18" s="38">
        <v>2015</v>
      </c>
      <c r="EC18" s="11">
        <v>105.33868303024229</v>
      </c>
      <c r="ED18" s="11">
        <v>22.235802430674863</v>
      </c>
      <c r="EE18" s="11">
        <v>78.657613236227149</v>
      </c>
      <c r="EF18" s="11">
        <v>88.680658505286701</v>
      </c>
      <c r="EG18" s="11">
        <v>35.893004162321368</v>
      </c>
      <c r="EH18" s="11">
        <v>73.227983718055754</v>
      </c>
      <c r="EI18" s="11">
        <v>38.311111042038405</v>
      </c>
      <c r="EJ18" s="11">
        <v>52.442386862672407</v>
      </c>
      <c r="EK18" s="11">
        <v>12.919341548480125</v>
      </c>
      <c r="EL18" s="11">
        <v>31.565843601776248</v>
      </c>
      <c r="EM18" s="11">
        <v>101.06296278714153</v>
      </c>
      <c r="EN18" s="11">
        <v>50.578189143428098</v>
      </c>
      <c r="EO18" s="11">
        <v>690.9135800683448</v>
      </c>
      <c r="EP18" s="11">
        <f t="shared" si="30"/>
        <v>434.10329222777256</v>
      </c>
      <c r="ES18" s="38">
        <v>2015</v>
      </c>
      <c r="ET18" s="11">
        <v>42.508968669737399</v>
      </c>
      <c r="EU18" s="11">
        <v>1.7399103136340599</v>
      </c>
      <c r="EV18" s="11">
        <v>12.675336305336034</v>
      </c>
      <c r="EW18" s="11">
        <v>37.128251122786857</v>
      </c>
      <c r="EX18" s="11">
        <v>32.363228725210966</v>
      </c>
      <c r="EY18" s="11">
        <v>57.657399147615301</v>
      </c>
      <c r="EZ18" s="11">
        <v>49.815695074107083</v>
      </c>
      <c r="FA18" s="11">
        <v>19.655605403831721</v>
      </c>
      <c r="FB18" s="11">
        <v>1.3412555989395878</v>
      </c>
      <c r="FC18" s="11">
        <v>25.489237610000131</v>
      </c>
      <c r="FD18" s="11">
        <v>63.309416886402353</v>
      </c>
      <c r="FE18" s="11">
        <v>20.82242152295305</v>
      </c>
      <c r="FF18" s="11">
        <v>364.50672638055454</v>
      </c>
      <c r="FG18" s="11">
        <f t="shared" si="31"/>
        <v>286.76008956889399</v>
      </c>
      <c r="FH18">
        <v>1999</v>
      </c>
      <c r="FI18" s="66">
        <v>11</v>
      </c>
      <c r="FJ18" s="8">
        <v>53.418685436248772</v>
      </c>
      <c r="FK18" s="8">
        <v>3359.8990375995645</v>
      </c>
      <c r="FL18" s="8">
        <v>0</v>
      </c>
      <c r="FM18" s="8">
        <v>2360.9</v>
      </c>
      <c r="FN18">
        <f>FH18</f>
        <v>1999</v>
      </c>
      <c r="FO18" s="8">
        <f>SUM(FJ14:FJ22)</f>
        <v>12153.087914466862</v>
      </c>
      <c r="FP18" s="8">
        <f>SUM(FK6:FK17)</f>
        <v>8892.8346087932605</v>
      </c>
      <c r="FQ18" s="8">
        <f>SUM(FL6:FL17)</f>
        <v>789.52392578125</v>
      </c>
      <c r="FR18" s="8">
        <f>SUM(FM6:FM17)</f>
        <v>11229.838599999999</v>
      </c>
      <c r="FT18" t="s">
        <v>144</v>
      </c>
      <c r="FU18" t="s">
        <v>347</v>
      </c>
      <c r="FV18" t="s">
        <v>348</v>
      </c>
      <c r="FX18" t="s">
        <v>347</v>
      </c>
      <c r="FY18" t="s">
        <v>348</v>
      </c>
      <c r="GA18" t="s">
        <v>73</v>
      </c>
      <c r="GB18" t="s">
        <v>144</v>
      </c>
      <c r="GC18" t="s">
        <v>346</v>
      </c>
      <c r="GD18" t="s">
        <v>350</v>
      </c>
      <c r="GF18" t="s">
        <v>73</v>
      </c>
      <c r="GG18" t="s">
        <v>347</v>
      </c>
      <c r="GH18" t="s">
        <v>348</v>
      </c>
      <c r="GV18" t="s">
        <v>251</v>
      </c>
      <c r="GW18" t="s">
        <v>250</v>
      </c>
      <c r="GY18" s="24" t="s">
        <v>412</v>
      </c>
      <c r="GZ18" s="24" t="s">
        <v>411</v>
      </c>
      <c r="HA18" s="24" t="s">
        <v>250</v>
      </c>
    </row>
    <row r="19" spans="1:220" x14ac:dyDescent="0.25">
      <c r="A19" s="1">
        <v>2014</v>
      </c>
      <c r="B19" s="4">
        <v>10.087234019218608</v>
      </c>
      <c r="C19" s="4">
        <v>19.785957458171438</v>
      </c>
      <c r="D19" s="4">
        <v>127.93148940066074</v>
      </c>
      <c r="E19" s="4">
        <v>12.37148936454286</v>
      </c>
      <c r="F19" s="4">
        <v>14.602127647399902</v>
      </c>
      <c r="G19" s="4">
        <v>43.487234010087683</v>
      </c>
      <c r="H19" s="4">
        <v>8.1731915088410076</v>
      </c>
      <c r="I19" s="4">
        <v>36.446808413241769</v>
      </c>
      <c r="J19" s="4">
        <v>16.387234028349532</v>
      </c>
      <c r="K19" s="4">
        <v>7.9408510684967037</v>
      </c>
      <c r="L19" s="4">
        <v>17.565957438692134</v>
      </c>
      <c r="M19" s="4">
        <v>62.024680912748295</v>
      </c>
      <c r="O19" s="11">
        <f t="shared" si="72"/>
        <v>79.590638351440433</v>
      </c>
      <c r="Q19" s="11">
        <f t="shared" si="73"/>
        <v>79.590638351440433</v>
      </c>
      <c r="S19" s="11">
        <f t="shared" si="74"/>
        <v>157.80468087805079</v>
      </c>
      <c r="T19" s="11">
        <f t="shared" si="75"/>
        <v>-13.456728702434845</v>
      </c>
      <c r="Y19">
        <v>1999</v>
      </c>
      <c r="Z19">
        <v>11</v>
      </c>
      <c r="AA19" s="8">
        <v>0</v>
      </c>
      <c r="AB19" s="8">
        <v>23856.486803084619</v>
      </c>
      <c r="AC19" s="8">
        <v>0</v>
      </c>
      <c r="AD19" s="11">
        <v>76.893001645803594</v>
      </c>
      <c r="AG19" s="8">
        <f>SUM(AA15:AA22)</f>
        <v>179201.10995765036</v>
      </c>
      <c r="AH19" s="8">
        <f>SUM(AB15:AB22)</f>
        <v>25944.381441265352</v>
      </c>
      <c r="AI19" s="8">
        <f>SUM(AC7:AC18)</f>
        <v>1535.293945312505</v>
      </c>
      <c r="AT19" t="s">
        <v>256</v>
      </c>
      <c r="AU19" t="s">
        <v>257</v>
      </c>
      <c r="AY19">
        <f t="array" ref="AY19:BB23">LINEST(BD3:BD17,AY3:BA17,0,1)</f>
        <v>0.21582618430800099</v>
      </c>
      <c r="AZ19">
        <v>1.0572308572814155</v>
      </c>
      <c r="BA19">
        <v>0.28752781475978872</v>
      </c>
      <c r="BB19">
        <v>0</v>
      </c>
      <c r="BJ19" s="21">
        <f t="array" ref="BJ19:BN23">LINEST(BO4:BO17,BJ4:BM17,0,1)</f>
        <v>0.1632118992032611</v>
      </c>
      <c r="BK19" s="21">
        <v>0.32321342106749268</v>
      </c>
      <c r="BL19" s="21">
        <v>0.90390489324088097</v>
      </c>
      <c r="BM19" s="21">
        <v>0.15977538737779914</v>
      </c>
      <c r="BN19" s="21">
        <v>0</v>
      </c>
      <c r="BT19">
        <f t="array" ref="BT19:BW23">LINEST(BY3:BY17,BT3:BW17,0,1)</f>
        <v>16489.69360316428</v>
      </c>
      <c r="BU19">
        <v>0.19233367090630307</v>
      </c>
      <c r="BV19">
        <v>1.0878620515929658</v>
      </c>
      <c r="BW19">
        <v>0.28345339280667242</v>
      </c>
      <c r="CG19">
        <f t="array" ref="CG19:CI23">LINEST(CL3:CL17,CG3:CI17,0,1)</f>
        <v>-0.11901861346034145</v>
      </c>
      <c r="CH19">
        <v>0.29193470826270723</v>
      </c>
      <c r="CI19">
        <v>0.17867521762772434</v>
      </c>
      <c r="CK19">
        <f t="array" ref="CK19:CN23">LINEST(CL3:CL17,CG3:CJ17,0,1)</f>
        <v>10838.578345754042</v>
      </c>
      <c r="CL19">
        <v>-0.12874698421117717</v>
      </c>
      <c r="CM19">
        <v>0.28243850202383564</v>
      </c>
      <c r="CN19">
        <v>0.17876665658657045</v>
      </c>
      <c r="CR19">
        <v>1999</v>
      </c>
      <c r="CS19">
        <v>11</v>
      </c>
      <c r="CT19" s="11">
        <v>0</v>
      </c>
      <c r="CU19" s="11">
        <v>0</v>
      </c>
      <c r="CV19" s="11">
        <v>0</v>
      </c>
      <c r="CW19" s="8">
        <v>972.83226844668377</v>
      </c>
      <c r="CX19" s="8">
        <v>598.12536847398167</v>
      </c>
      <c r="CY19" s="8">
        <v>0</v>
      </c>
      <c r="DA19" s="8">
        <f>SUM(CT15:CT22)</f>
        <v>2733.174289226532</v>
      </c>
      <c r="DB19" s="8">
        <f>SUM(CU15:CU22)</f>
        <v>633.12780761718784</v>
      </c>
      <c r="DC19" s="8">
        <f>SUM(CV7:CV18)</f>
        <v>0</v>
      </c>
      <c r="DG19">
        <f t="array" ref="DG19:DJ23">LINEST(DK3:DK17,DG3:DI17,0,1)</f>
        <v>1.0789339612505533</v>
      </c>
      <c r="DH19">
        <v>1.2487234310270261</v>
      </c>
      <c r="DI19">
        <v>0.30997797683375961</v>
      </c>
      <c r="DJ19">
        <v>0</v>
      </c>
      <c r="DN19" t="s">
        <v>418</v>
      </c>
      <c r="DO19" t="s">
        <v>364</v>
      </c>
      <c r="DS19">
        <f t="array" ref="DS19:DT23">LINEST(DR3:DR17,DS3:DT17,0,1)</f>
        <v>0.96191430945036072</v>
      </c>
      <c r="DT19">
        <v>0.29730991539585983</v>
      </c>
      <c r="FG19" s="11">
        <f>AVERAGE(FG2:FG18)</f>
        <v>243.56183060579176</v>
      </c>
      <c r="FH19">
        <v>1999</v>
      </c>
      <c r="FI19" s="66">
        <v>12</v>
      </c>
      <c r="FJ19" s="8">
        <v>0</v>
      </c>
      <c r="FK19" s="8">
        <v>102.5951907634735</v>
      </c>
      <c r="FL19" s="8">
        <v>0</v>
      </c>
      <c r="FM19" s="8">
        <v>320.48</v>
      </c>
      <c r="FT19">
        <f t="array" ref="FT19:FV23">LINEST(FZ3:FZ17,FT3:FV17,0,1)</f>
        <v>-0.15683661325187409</v>
      </c>
      <c r="FU19">
        <v>0.30826461278830597</v>
      </c>
      <c r="FV19">
        <v>0.10022666683523025</v>
      </c>
      <c r="FX19">
        <f t="array" ref="FX19:FY23">LINEST(FZ3:FZ17,FT3:FU17,0,1)</f>
        <v>0.18758238238161631</v>
      </c>
      <c r="FY19">
        <v>0.13293921332751224</v>
      </c>
      <c r="GA19">
        <f t="array" ref="GA19:GD23">LINEST(FZ3:FZ17,FT3:FW17,0,1)</f>
        <v>3.372131160737605</v>
      </c>
      <c r="GB19">
        <v>-0.11874770591668098</v>
      </c>
      <c r="GC19">
        <v>0.25164714375176472</v>
      </c>
      <c r="GD19">
        <v>0.12889789051259098</v>
      </c>
      <c r="GF19">
        <f t="array" ref="GF19:GH23">LINEST(GK3:GK17,GG3:GI17,0,1)</f>
        <v>4.6643009753584979</v>
      </c>
      <c r="GG19">
        <v>0.14980894039924861</v>
      </c>
      <c r="GH19">
        <v>0.16160825721996033</v>
      </c>
      <c r="GN19">
        <f t="array" ref="GN19:GQ23">LINEST(GS3:GS17,GN3:GQ17,0,1)</f>
        <v>-4.2004705686169305E-2</v>
      </c>
      <c r="GO19">
        <v>-0.15282967839414952</v>
      </c>
      <c r="GP19">
        <v>0.35696674327630179</v>
      </c>
      <c r="GQ19">
        <v>0.11134412420276661</v>
      </c>
      <c r="GV19">
        <f t="array" ref="GV19:GW23">LINEST(GS3:GS17,GV3:GW17,0,1)</f>
        <v>4.6539854777391365E-2</v>
      </c>
      <c r="GW19">
        <v>0.16789134111643114</v>
      </c>
      <c r="GY19">
        <f t="array" ref="GY19:HA23">LINEST(GS3:GS17,GV3:GX17,0,1)</f>
        <v>5.6379556800830901</v>
      </c>
      <c r="GZ19">
        <v>3.4172916329617387E-2</v>
      </c>
      <c r="HA19">
        <v>0.19646296862929155</v>
      </c>
    </row>
    <row r="20" spans="1:220" x14ac:dyDescent="0.25">
      <c r="O20" s="11">
        <f>AVERAGE(O4:O19)</f>
        <v>311.28135646768703</v>
      </c>
      <c r="S20" s="11">
        <f>AVERAGE(S4:S19)</f>
        <v>171.26140958048563</v>
      </c>
      <c r="Y20">
        <v>1999</v>
      </c>
      <c r="Z20">
        <v>12</v>
      </c>
      <c r="AA20" s="8">
        <v>39260.175837516814</v>
      </c>
      <c r="AB20" s="8">
        <v>11.093668937683111</v>
      </c>
      <c r="AC20" s="8">
        <v>0</v>
      </c>
      <c r="AD20" s="11">
        <v>79.456101700663709</v>
      </c>
      <c r="AT20" s="11">
        <f t="shared" ref="AT20:AT34" si="143">Q4</f>
        <v>340.80765976195642</v>
      </c>
      <c r="AU20">
        <v>158</v>
      </c>
      <c r="AY20">
        <v>8.3199402525583888E-2</v>
      </c>
      <c r="AZ20">
        <v>0.18353794829203193</v>
      </c>
      <c r="BA20">
        <v>5.46137001134386E-2</v>
      </c>
      <c r="BB20" t="e">
        <v>#N/A</v>
      </c>
      <c r="BJ20" s="21">
        <v>8.8922591687685251E-2</v>
      </c>
      <c r="BK20" s="21">
        <v>0.19307672938929107</v>
      </c>
      <c r="BL20" s="21">
        <v>0.24871778679318404</v>
      </c>
      <c r="BM20" s="21">
        <v>9.2770473123412439E-2</v>
      </c>
      <c r="BN20" s="21" t="e">
        <v>#N/A</v>
      </c>
      <c r="BT20">
        <v>5563.9227674302829</v>
      </c>
      <c r="BU20">
        <v>6.5280852279639451E-2</v>
      </c>
      <c r="BV20">
        <v>0.14331717505287972</v>
      </c>
      <c r="BW20">
        <v>4.255674649341086E-2</v>
      </c>
      <c r="BY20" t="s">
        <v>545</v>
      </c>
      <c r="CG20">
        <v>0.13030999889724695</v>
      </c>
      <c r="CH20">
        <v>0.12252358648622823</v>
      </c>
      <c r="CI20">
        <v>3.3900562708764341E-2</v>
      </c>
      <c r="CK20">
        <v>8000.9736772474807</v>
      </c>
      <c r="CL20">
        <v>0.12620398028660157</v>
      </c>
      <c r="CM20">
        <v>0.1186778593667306</v>
      </c>
      <c r="CN20">
        <v>3.2779239843727735E-2</v>
      </c>
      <c r="CR20">
        <v>1999</v>
      </c>
      <c r="CS20">
        <v>12</v>
      </c>
      <c r="CT20" s="11">
        <v>0</v>
      </c>
      <c r="CU20" s="11">
        <v>0</v>
      </c>
      <c r="CV20" s="11">
        <v>0</v>
      </c>
      <c r="CW20" s="8">
        <v>3584.8491695970297</v>
      </c>
      <c r="CX20" s="8">
        <v>35.696691882610331</v>
      </c>
      <c r="CY20" s="8">
        <v>0</v>
      </c>
      <c r="DG20">
        <v>0.59101136799875964</v>
      </c>
      <c r="DH20">
        <v>0.43492216575168391</v>
      </c>
      <c r="DI20">
        <v>0.11673950369974963</v>
      </c>
      <c r="DJ20" t="e">
        <v>#N/A</v>
      </c>
      <c r="DN20" s="8">
        <v>5</v>
      </c>
      <c r="DO20">
        <v>3500</v>
      </c>
      <c r="DS20">
        <v>0.18245121127673181</v>
      </c>
      <c r="DT20">
        <v>9.2896983214731513E-2</v>
      </c>
      <c r="DV20" t="s">
        <v>545</v>
      </c>
      <c r="EN20" t="s">
        <v>311</v>
      </c>
      <c r="EO20" s="11">
        <f>AVERAGE(EO2:EO18)</f>
        <v>688.59327038690446</v>
      </c>
      <c r="EP20" s="11">
        <f>AVERAGE(EP2:EP18)</f>
        <v>375.67693047431447</v>
      </c>
      <c r="FH20">
        <v>2000</v>
      </c>
      <c r="FI20" s="66">
        <v>1</v>
      </c>
      <c r="FJ20" s="8">
        <v>1022.0341796874998</v>
      </c>
      <c r="FK20" s="8">
        <v>0</v>
      </c>
      <c r="FL20" s="8">
        <v>0</v>
      </c>
      <c r="FM20" s="8">
        <v>735.02</v>
      </c>
      <c r="FT20">
        <v>8.7132198450206366E-2</v>
      </c>
      <c r="FU20">
        <v>8.625060414909104E-2</v>
      </c>
      <c r="FV20">
        <v>5.3219399154008258E-2</v>
      </c>
      <c r="FX20">
        <v>5.8747096989662802E-2</v>
      </c>
      <c r="FY20">
        <v>5.415832268712234E-2</v>
      </c>
      <c r="GA20">
        <v>2.8396007909186585</v>
      </c>
      <c r="GB20">
        <v>9.1486525608534042E-2</v>
      </c>
      <c r="GC20">
        <v>9.7294851841284807E-2</v>
      </c>
      <c r="GD20">
        <v>5.7633173450240993E-2</v>
      </c>
      <c r="GF20">
        <v>2.734196135690766</v>
      </c>
      <c r="GG20">
        <v>5.9155576033907503E-2</v>
      </c>
      <c r="GH20">
        <v>5.3289701449793912E-2</v>
      </c>
      <c r="GN20">
        <v>7.0514952013733131E-2</v>
      </c>
      <c r="GO20">
        <v>8.9825555882978594E-2</v>
      </c>
      <c r="GP20">
        <v>0.12060781755147534</v>
      </c>
      <c r="GQ20">
        <v>5.7806137718147153E-2</v>
      </c>
      <c r="GV20">
        <v>2.1042466847134095E-2</v>
      </c>
      <c r="GW20">
        <v>5.9947953904776627E-2</v>
      </c>
      <c r="GY20">
        <v>2.9843804507968179</v>
      </c>
      <c r="GZ20">
        <v>2.031203151102846E-2</v>
      </c>
      <c r="HA20">
        <v>5.6828824913507797E-2</v>
      </c>
      <c r="HC20" t="s">
        <v>545</v>
      </c>
    </row>
    <row r="21" spans="1:220" x14ac:dyDescent="0.25">
      <c r="Y21">
        <v>2000</v>
      </c>
      <c r="Z21">
        <v>1</v>
      </c>
      <c r="AA21" s="8">
        <v>75812.767697334319</v>
      </c>
      <c r="AB21" s="8">
        <v>0</v>
      </c>
      <c r="AC21" s="8">
        <v>0</v>
      </c>
      <c r="AD21" s="11">
        <v>79.456101700663709</v>
      </c>
      <c r="AT21" s="11">
        <f t="shared" si="143"/>
        <v>392.96936171612839</v>
      </c>
      <c r="AU21">
        <v>111</v>
      </c>
      <c r="AY21">
        <v>0.9391469452480502</v>
      </c>
      <c r="AZ21">
        <v>7059.3155513288457</v>
      </c>
      <c r="BA21" t="e">
        <v>#N/A</v>
      </c>
      <c r="BB21" t="e">
        <v>#N/A</v>
      </c>
      <c r="BJ21">
        <v>0.94596055368302079</v>
      </c>
      <c r="BK21">
        <v>6827.1866133626218</v>
      </c>
      <c r="BL21" t="e">
        <v>#N/A</v>
      </c>
      <c r="BM21" t="e">
        <v>#N/A</v>
      </c>
      <c r="BN21" t="e">
        <v>#N/A</v>
      </c>
      <c r="BT21">
        <v>0.96616439136643484</v>
      </c>
      <c r="BU21">
        <v>5497.973979655475</v>
      </c>
      <c r="BV21" t="e">
        <v>#N/A</v>
      </c>
      <c r="BW21" t="e">
        <v>#N/A</v>
      </c>
      <c r="BY21">
        <f>1-(((1-BT21)*(14))/(10))</f>
        <v>0.95263014791300882</v>
      </c>
      <c r="CG21">
        <v>0.91829828799261493</v>
      </c>
      <c r="CH21">
        <v>8179.6925788934032</v>
      </c>
      <c r="CI21" t="e">
        <v>#N/A</v>
      </c>
      <c r="CK21">
        <v>0.92997958242043721</v>
      </c>
      <c r="CL21">
        <v>7909.1175777493127</v>
      </c>
      <c r="CM21" t="e">
        <v>#N/A</v>
      </c>
      <c r="CN21" t="e">
        <v>#N/A</v>
      </c>
      <c r="CR21">
        <v>2000</v>
      </c>
      <c r="CS21">
        <v>1</v>
      </c>
      <c r="CT21" s="11">
        <v>137.30540657043477</v>
      </c>
      <c r="CU21" s="11">
        <v>0</v>
      </c>
      <c r="CV21" s="11">
        <v>0</v>
      </c>
      <c r="CW21" s="8">
        <v>6474.6392170043737</v>
      </c>
      <c r="CX21" s="8">
        <v>8.6106462359428448</v>
      </c>
      <c r="CY21" s="8">
        <v>0</v>
      </c>
      <c r="DG21">
        <v>0.92123987236007321</v>
      </c>
      <c r="DH21">
        <v>3340.5128116175997</v>
      </c>
      <c r="DI21" t="e">
        <v>#N/A</v>
      </c>
      <c r="DJ21" t="e">
        <v>#N/A</v>
      </c>
      <c r="DN21" s="8">
        <v>100</v>
      </c>
      <c r="DO21">
        <v>1000</v>
      </c>
      <c r="DR21" s="8"/>
      <c r="DS21" s="21">
        <v>0.90515895075665531</v>
      </c>
      <c r="DT21" s="8">
        <v>3029.3759430016289</v>
      </c>
      <c r="DU21" s="8"/>
      <c r="DV21" s="15">
        <f>1-(((1-DS21)*(14))/(12))</f>
        <v>0.88935210921609786</v>
      </c>
      <c r="DW21" s="8"/>
      <c r="DX21" s="8"/>
      <c r="DY21" s="8"/>
      <c r="DZ21" s="8"/>
      <c r="FH21">
        <v>2000</v>
      </c>
      <c r="FI21" s="66">
        <v>2</v>
      </c>
      <c r="FJ21" s="8">
        <v>7347.9602842330933</v>
      </c>
      <c r="FK21" s="8">
        <v>0</v>
      </c>
      <c r="FL21" s="8">
        <v>0</v>
      </c>
      <c r="FM21" s="8">
        <v>74.893000000000001</v>
      </c>
      <c r="FT21">
        <v>0.90452296618793337</v>
      </c>
      <c r="FU21">
        <v>1049.238684320429</v>
      </c>
      <c r="FV21" t="e">
        <v>#N/A</v>
      </c>
      <c r="FX21">
        <v>0.87874460885845795</v>
      </c>
      <c r="FY21">
        <v>1136.0417975732425</v>
      </c>
      <c r="GA21">
        <v>0.91537254624683084</v>
      </c>
      <c r="GB21">
        <v>1031.7506533296432</v>
      </c>
      <c r="GC21" t="e">
        <v>#N/A</v>
      </c>
      <c r="GD21" t="e">
        <v>#N/A</v>
      </c>
      <c r="GF21">
        <v>0.90241106081219424</v>
      </c>
      <c r="GG21">
        <v>1060.7795376022414</v>
      </c>
      <c r="GH21" t="e">
        <v>#N/A</v>
      </c>
      <c r="GN21">
        <v>0.90750663994319347</v>
      </c>
      <c r="GO21">
        <v>1078.6347154410728</v>
      </c>
      <c r="GP21" t="e">
        <v>#N/A</v>
      </c>
      <c r="GQ21" t="e">
        <v>#N/A</v>
      </c>
      <c r="GV21">
        <v>0.84279902560841591</v>
      </c>
      <c r="GW21">
        <v>1293.5147898190658</v>
      </c>
      <c r="GY21">
        <v>0.87883465548547457</v>
      </c>
      <c r="GZ21">
        <v>1181.9906626939553</v>
      </c>
      <c r="HA21" t="e">
        <v>#N/A</v>
      </c>
      <c r="HC21" s="15">
        <f>1-(((1-GY21)*(14))/(10))</f>
        <v>0.83036851767966446</v>
      </c>
      <c r="HF21" s="23" t="s">
        <v>612</v>
      </c>
      <c r="HG21" s="23" t="s">
        <v>412</v>
      </c>
      <c r="HH21" s="23" t="s">
        <v>498</v>
      </c>
      <c r="HI21" s="23" t="s">
        <v>250</v>
      </c>
    </row>
    <row r="22" spans="1:220" x14ac:dyDescent="0.25">
      <c r="A22" s="45" t="s">
        <v>193</v>
      </c>
      <c r="B22" s="9"/>
      <c r="C22" s="9" t="s">
        <v>194</v>
      </c>
      <c r="D22" s="9" t="s">
        <v>52</v>
      </c>
      <c r="E22" s="9" t="s">
        <v>51</v>
      </c>
      <c r="F22" s="9" t="s">
        <v>22</v>
      </c>
      <c r="G22" s="9" t="s">
        <v>23</v>
      </c>
      <c r="H22" s="9" t="s">
        <v>24</v>
      </c>
      <c r="I22" s="9" t="s">
        <v>25</v>
      </c>
      <c r="J22" s="9" t="s">
        <v>26</v>
      </c>
      <c r="K22" s="9" t="s">
        <v>27</v>
      </c>
      <c r="L22" s="9" t="s">
        <v>28</v>
      </c>
      <c r="M22" s="9" t="s">
        <v>29</v>
      </c>
      <c r="N22" s="9" t="s">
        <v>30</v>
      </c>
      <c r="O22" s="9" t="s">
        <v>31</v>
      </c>
      <c r="P22" s="9" t="s">
        <v>32</v>
      </c>
      <c r="Q22" s="9" t="s">
        <v>33</v>
      </c>
      <c r="R22" s="9" t="s">
        <v>34</v>
      </c>
      <c r="S22" s="9" t="s">
        <v>35</v>
      </c>
      <c r="Y22">
        <v>2000</v>
      </c>
      <c r="Z22">
        <v>2</v>
      </c>
      <c r="AA22" s="8">
        <v>36994.9731077701</v>
      </c>
      <c r="AB22" s="8">
        <v>6.3836487531661934</v>
      </c>
      <c r="AC22" s="8">
        <v>0</v>
      </c>
      <c r="AD22" s="11">
        <v>74.329901590943479</v>
      </c>
      <c r="AT22" s="11">
        <f t="shared" si="143"/>
        <v>253.05319116470662</v>
      </c>
      <c r="AU22">
        <v>160</v>
      </c>
      <c r="AY22">
        <v>61.732115114103443</v>
      </c>
      <c r="AZ22">
        <v>12</v>
      </c>
      <c r="BA22" t="e">
        <v>#N/A</v>
      </c>
      <c r="BB22" t="e">
        <v>#N/A</v>
      </c>
      <c r="BJ22">
        <v>43.762502123647693</v>
      </c>
      <c r="BK22">
        <v>10</v>
      </c>
      <c r="BL22" t="e">
        <v>#N/A</v>
      </c>
      <c r="BM22" t="e">
        <v>#N/A</v>
      </c>
      <c r="BN22" t="e">
        <v>#N/A</v>
      </c>
      <c r="BT22">
        <v>78.525322391333361</v>
      </c>
      <c r="BU22">
        <v>11</v>
      </c>
      <c r="BV22" t="e">
        <v>#N/A</v>
      </c>
      <c r="BW22" t="e">
        <v>#N/A</v>
      </c>
      <c r="BY22">
        <v>3.59</v>
      </c>
      <c r="BZ22" t="s">
        <v>602</v>
      </c>
      <c r="CG22">
        <v>44.958582405696006</v>
      </c>
      <c r="CH22">
        <v>12</v>
      </c>
      <c r="CI22" t="e">
        <v>#N/A</v>
      </c>
      <c r="CK22">
        <v>36.524258781379473</v>
      </c>
      <c r="CL22">
        <v>11</v>
      </c>
      <c r="CM22" t="e">
        <v>#N/A</v>
      </c>
      <c r="CN22" t="e">
        <v>#N/A</v>
      </c>
      <c r="CR22">
        <v>2000</v>
      </c>
      <c r="CS22">
        <v>2</v>
      </c>
      <c r="CT22" s="11">
        <v>1674.6490459442141</v>
      </c>
      <c r="CU22" s="11">
        <v>121</v>
      </c>
      <c r="CV22" s="11">
        <v>0</v>
      </c>
      <c r="CW22" s="8">
        <v>4341.3495134711256</v>
      </c>
      <c r="CX22" s="8">
        <v>5.7920427322387669</v>
      </c>
      <c r="CY22" s="8">
        <v>0</v>
      </c>
      <c r="DG22">
        <v>46.787119318636513</v>
      </c>
      <c r="DH22">
        <v>12</v>
      </c>
      <c r="DI22" t="e">
        <v>#N/A</v>
      </c>
      <c r="DJ22" t="e">
        <v>#N/A</v>
      </c>
      <c r="DS22">
        <v>62.035724265578267</v>
      </c>
      <c r="DT22">
        <v>13</v>
      </c>
      <c r="DV22">
        <v>4.67</v>
      </c>
      <c r="DW22" t="s">
        <v>602</v>
      </c>
      <c r="FH22">
        <v>2000</v>
      </c>
      <c r="FI22" s="66">
        <v>3</v>
      </c>
      <c r="FJ22" s="8">
        <v>3257.3197097778352</v>
      </c>
      <c r="FK22" s="8">
        <v>0</v>
      </c>
      <c r="FL22" s="8">
        <v>0</v>
      </c>
      <c r="FM22" s="8">
        <v>309.3</v>
      </c>
      <c r="FT22">
        <v>37.894891790139248</v>
      </c>
      <c r="FU22">
        <v>12</v>
      </c>
      <c r="FV22" t="e">
        <v>#N/A</v>
      </c>
      <c r="FX22">
        <v>47.10586394391747</v>
      </c>
      <c r="FY22">
        <v>13</v>
      </c>
      <c r="GA22">
        <v>29.745365015008726</v>
      </c>
      <c r="GB22">
        <v>11</v>
      </c>
      <c r="GC22" t="e">
        <v>#N/A</v>
      </c>
      <c r="GD22" t="e">
        <v>#N/A</v>
      </c>
      <c r="GF22">
        <v>36.988251673708326</v>
      </c>
      <c r="GG22">
        <v>12</v>
      </c>
      <c r="GH22" t="e">
        <v>#N/A</v>
      </c>
      <c r="GN22">
        <v>26.981863977165862</v>
      </c>
      <c r="GO22">
        <v>11</v>
      </c>
      <c r="GP22" t="e">
        <v>#N/A</v>
      </c>
      <c r="GQ22" t="e">
        <v>#N/A</v>
      </c>
      <c r="GV22">
        <v>34.848344214512601</v>
      </c>
      <c r="GW22">
        <v>13</v>
      </c>
      <c r="GY22">
        <v>29.012739872335988</v>
      </c>
      <c r="GZ22">
        <v>12</v>
      </c>
      <c r="HA22" t="e">
        <v>#N/A</v>
      </c>
      <c r="HC22">
        <v>3.89</v>
      </c>
      <c r="HD22" t="s">
        <v>602</v>
      </c>
      <c r="HF22">
        <f t="array" ref="HF22:HI26">LINEST(HA3:HA17,GV3:GY17,0,1)</f>
        <v>1920.0948620668037</v>
      </c>
      <c r="HG22">
        <v>5.2810903155391502</v>
      </c>
      <c r="HH22">
        <v>2.2363385108527135E-2</v>
      </c>
      <c r="HI22">
        <v>0.19859435226045696</v>
      </c>
    </row>
    <row r="23" spans="1:220" x14ac:dyDescent="0.25">
      <c r="A23" t="s">
        <v>195</v>
      </c>
      <c r="B23" s="8"/>
      <c r="C23" s="8">
        <v>54500</v>
      </c>
      <c r="D23" s="8">
        <v>60000</v>
      </c>
      <c r="E23" s="8">
        <v>55000</v>
      </c>
      <c r="F23" s="8">
        <v>56167</v>
      </c>
      <c r="G23" s="8">
        <v>50000</v>
      </c>
      <c r="H23" s="8">
        <v>36000</v>
      </c>
      <c r="I23" s="8">
        <v>26300</v>
      </c>
      <c r="J23" s="8">
        <v>44000</v>
      </c>
      <c r="K23" s="8">
        <v>50000</v>
      </c>
      <c r="L23" s="8">
        <v>23680</v>
      </c>
      <c r="M23" s="8">
        <v>12000</v>
      </c>
      <c r="N23" s="8">
        <v>21200</v>
      </c>
      <c r="O23" s="8">
        <v>25400</v>
      </c>
      <c r="P23" s="8">
        <v>50000</v>
      </c>
      <c r="Q23" s="8">
        <v>55200</v>
      </c>
      <c r="R23" s="8">
        <v>54734</v>
      </c>
      <c r="S23" s="8">
        <v>49400</v>
      </c>
      <c r="T23" t="s">
        <v>198</v>
      </c>
      <c r="Y23">
        <v>2000</v>
      </c>
      <c r="Z23">
        <v>3</v>
      </c>
      <c r="AA23" s="8">
        <v>4054.8354990482335</v>
      </c>
      <c r="AB23" s="8">
        <v>9.8635118901729548</v>
      </c>
      <c r="AC23" s="8">
        <v>0</v>
      </c>
      <c r="AD23" s="11">
        <v>79.456101700663709</v>
      </c>
      <c r="AT23" s="11">
        <f t="shared" si="143"/>
        <v>206.47659574468082</v>
      </c>
      <c r="AU23">
        <v>30</v>
      </c>
      <c r="AY23">
        <v>9229062831.0812016</v>
      </c>
      <c r="AZ23">
        <v>598007232.63879943</v>
      </c>
      <c r="BA23" t="e">
        <v>#N/A</v>
      </c>
      <c r="BB23" t="e">
        <v>#N/A</v>
      </c>
      <c r="BJ23">
        <v>8159164404.1832237</v>
      </c>
      <c r="BK23">
        <v>466104770.53677785</v>
      </c>
      <c r="BL23" t="e">
        <v>#N/A</v>
      </c>
      <c r="BM23" t="e">
        <v>#N/A</v>
      </c>
      <c r="BN23" t="e">
        <v>#N/A</v>
      </c>
      <c r="BT23">
        <v>9494565167.0293465</v>
      </c>
      <c r="BU23">
        <v>332504896.69065529</v>
      </c>
      <c r="BV23" t="e">
        <v>#N/A</v>
      </c>
      <c r="BW23" t="e">
        <v>#N/A</v>
      </c>
      <c r="CG23">
        <v>9024181615.4975548</v>
      </c>
      <c r="CH23">
        <v>802888448.22244573</v>
      </c>
      <c r="CI23" t="e">
        <v>#N/A</v>
      </c>
      <c r="CK23">
        <v>9138974514.2747059</v>
      </c>
      <c r="CL23">
        <v>688095549.44529474</v>
      </c>
      <c r="CM23" t="e">
        <v>#N/A</v>
      </c>
      <c r="CN23" t="e">
        <v>#N/A</v>
      </c>
      <c r="CR23">
        <v>2000</v>
      </c>
      <c r="CS23">
        <v>3</v>
      </c>
      <c r="CT23" s="11">
        <v>609.00251722335815</v>
      </c>
      <c r="CU23" s="11">
        <v>0</v>
      </c>
      <c r="CV23" s="11">
        <v>0</v>
      </c>
      <c r="CW23" s="8">
        <v>540.13149768710161</v>
      </c>
      <c r="CX23" s="8">
        <v>349.15412405484221</v>
      </c>
      <c r="CY23" s="8">
        <v>0</v>
      </c>
      <c r="DG23">
        <v>1566296021.0105245</v>
      </c>
      <c r="DH23">
        <v>133908310.13497585</v>
      </c>
      <c r="DI23" t="e">
        <v>#N/A</v>
      </c>
      <c r="DJ23" t="e">
        <v>#N/A</v>
      </c>
      <c r="DN23">
        <f t="array" ref="DN23:DO27">LINEST(DO20:DO21,DN20:DN21,1,1)</f>
        <v>-26.315789473684209</v>
      </c>
      <c r="DO23">
        <v>3631.5789473684208</v>
      </c>
      <c r="DS23">
        <v>1138618398.5450966</v>
      </c>
      <c r="DT23">
        <v>119302541.8524811</v>
      </c>
      <c r="FH23">
        <v>2000</v>
      </c>
      <c r="FI23" s="66">
        <v>4</v>
      </c>
      <c r="FJ23" s="8">
        <v>0</v>
      </c>
      <c r="FK23" s="8">
        <v>0</v>
      </c>
      <c r="FL23" s="8">
        <v>0</v>
      </c>
      <c r="FM23" s="8">
        <v>153.91</v>
      </c>
      <c r="FT23">
        <v>125155665.64333971</v>
      </c>
      <c r="FU23">
        <v>13210821.80009358</v>
      </c>
      <c r="FV23" t="e">
        <v>#N/A</v>
      </c>
      <c r="FX23">
        <v>121588804.88759851</v>
      </c>
      <c r="FY23">
        <v>16777682.555834774</v>
      </c>
      <c r="GA23">
        <v>126656883.92632568</v>
      </c>
      <c r="GB23">
        <v>11709603.517107602</v>
      </c>
      <c r="GC23" t="e">
        <v>#N/A</v>
      </c>
      <c r="GD23" t="e">
        <v>#N/A</v>
      </c>
      <c r="GF23">
        <v>124863448.71468578</v>
      </c>
      <c r="GG23">
        <v>13503038.7287475</v>
      </c>
      <c r="GH23" t="e">
        <v>#N/A</v>
      </c>
      <c r="GN23">
        <v>125568506.1005322</v>
      </c>
      <c r="GO23">
        <v>12797981.342901085</v>
      </c>
      <c r="GP23" t="e">
        <v>#N/A</v>
      </c>
      <c r="GQ23" t="e">
        <v>#N/A</v>
      </c>
      <c r="GV23">
        <v>116615140.79418468</v>
      </c>
      <c r="GW23">
        <v>21751346.6492486</v>
      </c>
      <c r="GY23">
        <v>121601264.32308494</v>
      </c>
      <c r="GZ23">
        <v>16765223.120348349</v>
      </c>
      <c r="HA23" t="e">
        <v>#N/A</v>
      </c>
      <c r="HF23">
        <v>504.91856082412886</v>
      </c>
      <c r="HG23">
        <v>2.0509776375069797</v>
      </c>
      <c r="HH23">
        <v>1.4286183953169489E-2</v>
      </c>
      <c r="HI23">
        <v>3.9018012183172766E-2</v>
      </c>
      <c r="HK23" t="s">
        <v>545</v>
      </c>
    </row>
    <row r="24" spans="1:220" x14ac:dyDescent="0.25">
      <c r="A24" t="s">
        <v>196</v>
      </c>
      <c r="F24">
        <v>52015</v>
      </c>
      <c r="K24">
        <v>40501</v>
      </c>
      <c r="P24">
        <v>39890</v>
      </c>
      <c r="Y24">
        <v>2000</v>
      </c>
      <c r="Z24">
        <v>4</v>
      </c>
      <c r="AA24" s="8">
        <v>0</v>
      </c>
      <c r="AB24" s="8">
        <v>0</v>
      </c>
      <c r="AC24" s="8">
        <v>0</v>
      </c>
      <c r="AD24" s="11">
        <v>76.893001645803594</v>
      </c>
      <c r="AT24" s="11">
        <f t="shared" si="143"/>
        <v>401.97829838204893</v>
      </c>
      <c r="AU24">
        <v>2</v>
      </c>
      <c r="BJ24" t="s">
        <v>270</v>
      </c>
      <c r="BK24" t="s">
        <v>272</v>
      </c>
      <c r="BL24" t="s">
        <v>271</v>
      </c>
      <c r="BM24" t="s">
        <v>260</v>
      </c>
      <c r="CR24">
        <v>2000</v>
      </c>
      <c r="CS24">
        <v>4</v>
      </c>
      <c r="CT24" s="11">
        <v>0</v>
      </c>
      <c r="CU24" s="11">
        <v>0</v>
      </c>
      <c r="CV24" s="11">
        <v>0</v>
      </c>
      <c r="CW24" s="8">
        <v>1.8495918184518816</v>
      </c>
      <c r="CX24" s="8">
        <v>0</v>
      </c>
      <c r="CY24" s="8">
        <v>0</v>
      </c>
      <c r="DN24">
        <v>0</v>
      </c>
      <c r="DO24">
        <v>0</v>
      </c>
      <c r="FH24">
        <v>2000</v>
      </c>
      <c r="FI24" s="66">
        <v>5</v>
      </c>
      <c r="FJ24" s="8">
        <v>0</v>
      </c>
      <c r="FK24" s="8">
        <v>2373.7075276374835</v>
      </c>
      <c r="FL24" s="8">
        <v>0</v>
      </c>
      <c r="FM24" s="8">
        <v>199.01</v>
      </c>
      <c r="HF24">
        <v>0.94765283506729081</v>
      </c>
      <c r="HG24">
        <v>811.45734998889725</v>
      </c>
      <c r="HH24" t="e">
        <v>#N/A</v>
      </c>
      <c r="HI24" t="e">
        <v>#N/A</v>
      </c>
      <c r="HK24" s="15">
        <f>1-(((1-HF24)*(14))/(10))</f>
        <v>0.92671396909420711</v>
      </c>
    </row>
    <row r="25" spans="1:220" x14ac:dyDescent="0.25">
      <c r="A25" t="s">
        <v>197</v>
      </c>
      <c r="F25">
        <v>24815</v>
      </c>
      <c r="K25">
        <v>15377</v>
      </c>
      <c r="P25">
        <v>19051</v>
      </c>
      <c r="Y25">
        <v>2000</v>
      </c>
      <c r="Z25">
        <v>5</v>
      </c>
      <c r="AA25" s="8">
        <v>0</v>
      </c>
      <c r="AB25" s="8">
        <v>1841.7283461689944</v>
      </c>
      <c r="AC25" s="8">
        <v>0</v>
      </c>
      <c r="AD25" s="11">
        <v>79.456101700663709</v>
      </c>
      <c r="AT25" s="11">
        <f t="shared" si="143"/>
        <v>406.87234042553189</v>
      </c>
      <c r="AU25">
        <v>53</v>
      </c>
      <c r="BJ25">
        <f t="array" ref="BJ25:BM29">LINEST(BO4:BO17,BJ4:BL17,0,1)</f>
        <v>0.43886466217487857</v>
      </c>
      <c r="BK25">
        <v>0.98018876941412414</v>
      </c>
      <c r="BL25">
        <v>0.15235447323638046</v>
      </c>
      <c r="BM25">
        <v>0</v>
      </c>
      <c r="BT25" s="15">
        <f>BT19/BT20</f>
        <v>2.9636812537532942</v>
      </c>
      <c r="BU25" s="15">
        <f t="shared" ref="BU25:BW25" si="144">BU19/BU20</f>
        <v>2.9462493853850975</v>
      </c>
      <c r="BV25" s="15">
        <f t="shared" si="144"/>
        <v>7.5905909476067848</v>
      </c>
      <c r="BW25" s="15">
        <f t="shared" si="144"/>
        <v>6.6605982872905951</v>
      </c>
      <c r="CR25">
        <v>2000</v>
      </c>
      <c r="CS25">
        <v>5</v>
      </c>
      <c r="CT25" s="11">
        <v>0</v>
      </c>
      <c r="CU25" s="11">
        <v>284.85830688476602</v>
      </c>
      <c r="CV25" s="11">
        <v>0</v>
      </c>
      <c r="CW25" s="8">
        <v>6.7094402700662634</v>
      </c>
      <c r="CX25" s="8">
        <v>0</v>
      </c>
      <c r="CY25" s="8">
        <v>0</v>
      </c>
      <c r="DN25">
        <v>1</v>
      </c>
      <c r="DO25">
        <v>0</v>
      </c>
      <c r="DS25" s="15">
        <f>DS19/DS20</f>
        <v>5.2721727782414272</v>
      </c>
      <c r="DT25" s="15">
        <f>DT19/DT20</f>
        <v>3.2004259461109466</v>
      </c>
      <c r="FH25">
        <v>2000</v>
      </c>
      <c r="FI25" s="66">
        <v>6</v>
      </c>
      <c r="FJ25" s="8">
        <v>0</v>
      </c>
      <c r="FK25" s="8">
        <v>0</v>
      </c>
      <c r="FL25" s="8">
        <v>0</v>
      </c>
      <c r="FM25" s="8">
        <v>0</v>
      </c>
      <c r="GY25" s="15">
        <f>GY19/GY20</f>
        <v>1.8891544737795671</v>
      </c>
      <c r="GZ25" s="15">
        <f t="shared" ref="GZ25:HA25" si="145">GZ19/GZ20</f>
        <v>1.6823977607096134</v>
      </c>
      <c r="HA25" s="15">
        <f t="shared" si="145"/>
        <v>3.4571006690408224</v>
      </c>
      <c r="HF25">
        <v>49.783886095551622</v>
      </c>
      <c r="HG25">
        <v>11</v>
      </c>
      <c r="HH25" t="e">
        <v>#N/A</v>
      </c>
      <c r="HI25" t="e">
        <v>#N/A</v>
      </c>
      <c r="HK25">
        <v>3.59</v>
      </c>
      <c r="HL25" t="s">
        <v>602</v>
      </c>
    </row>
    <row r="26" spans="1:220" x14ac:dyDescent="0.25">
      <c r="A26" t="s">
        <v>614</v>
      </c>
      <c r="H26" s="46">
        <v>28472.520000000004</v>
      </c>
      <c r="I26" s="46">
        <v>20710.820000000007</v>
      </c>
      <c r="J26" s="46">
        <v>35987.970000000016</v>
      </c>
      <c r="K26" s="46">
        <v>40196.690000000024</v>
      </c>
      <c r="L26" s="46">
        <v>23327.379999999994</v>
      </c>
      <c r="M26" s="46">
        <v>11753.679999999998</v>
      </c>
      <c r="N26" s="46">
        <v>15014.949999999999</v>
      </c>
      <c r="O26" s="46">
        <v>22350.419999999991</v>
      </c>
      <c r="P26" s="46">
        <v>41940.67</v>
      </c>
      <c r="Q26" s="46">
        <v>47314.530000000006</v>
      </c>
      <c r="R26" s="46">
        <v>45237.400000000023</v>
      </c>
      <c r="S26" s="46">
        <v>43932.109999999979</v>
      </c>
      <c r="T26" s="46"/>
      <c r="Y26">
        <v>2000</v>
      </c>
      <c r="Z26">
        <v>6</v>
      </c>
      <c r="AA26" s="8">
        <v>141.99103760719302</v>
      </c>
      <c r="AB26" s="8">
        <v>4.5919263362884504</v>
      </c>
      <c r="AC26" s="8">
        <v>0</v>
      </c>
      <c r="AD26" s="11">
        <v>76.893001645803594</v>
      </c>
      <c r="AT26" s="11">
        <f t="shared" si="143"/>
        <v>264.29446819792406</v>
      </c>
      <c r="AU26">
        <v>47</v>
      </c>
      <c r="BJ26">
        <v>0.20119950686699303</v>
      </c>
      <c r="BK26">
        <v>0.27033820618170951</v>
      </c>
      <c r="BL26">
        <v>0.10217563092619358</v>
      </c>
      <c r="BM26" t="e">
        <v>#N/A</v>
      </c>
      <c r="BT26" t="s">
        <v>575</v>
      </c>
      <c r="CR26">
        <v>2000</v>
      </c>
      <c r="CS26">
        <v>6</v>
      </c>
      <c r="CT26" s="11">
        <v>0</v>
      </c>
      <c r="CU26" s="11">
        <v>0</v>
      </c>
      <c r="CV26" s="11">
        <v>0</v>
      </c>
      <c r="CW26" s="8">
        <v>19.375671491026882</v>
      </c>
      <c r="CX26" s="8">
        <v>0</v>
      </c>
      <c r="CY26" s="8">
        <v>0</v>
      </c>
      <c r="DN26" t="e">
        <v>#NUM!</v>
      </c>
      <c r="DO26">
        <v>0</v>
      </c>
      <c r="DS26" t="s">
        <v>574</v>
      </c>
      <c r="FH26">
        <v>2000</v>
      </c>
      <c r="FI26" s="66">
        <v>7</v>
      </c>
      <c r="FJ26" s="8">
        <v>0</v>
      </c>
      <c r="FK26" s="8">
        <v>0</v>
      </c>
      <c r="FL26" s="8">
        <v>0</v>
      </c>
      <c r="FM26" s="8">
        <v>0</v>
      </c>
      <c r="GY26" s="75">
        <v>0.95</v>
      </c>
      <c r="GZ26" s="75">
        <v>0.9</v>
      </c>
      <c r="HA26" s="76">
        <v>0.995</v>
      </c>
      <c r="HF26">
        <v>131123394.10407224</v>
      </c>
      <c r="HG26">
        <v>7243093.3393610409</v>
      </c>
      <c r="HH26" t="e">
        <v>#N/A</v>
      </c>
      <c r="HI26" t="e">
        <v>#N/A</v>
      </c>
    </row>
    <row r="27" spans="1:220" x14ac:dyDescent="0.25">
      <c r="A27" t="s">
        <v>615</v>
      </c>
      <c r="H27" s="46">
        <v>952.55</v>
      </c>
      <c r="I27" s="46">
        <v>149.6</v>
      </c>
      <c r="J27" s="46">
        <v>5112.1000000000004</v>
      </c>
      <c r="K27" s="46">
        <v>5153.8</v>
      </c>
      <c r="L27" s="46">
        <v>114.9</v>
      </c>
      <c r="M27" s="46">
        <v>0</v>
      </c>
      <c r="N27" s="46">
        <v>2554.3999999999996</v>
      </c>
      <c r="O27" s="46">
        <v>3429.4700000000003</v>
      </c>
      <c r="P27" s="46">
        <v>8862.0299999999988</v>
      </c>
      <c r="Q27" s="46">
        <v>9141.0400000000009</v>
      </c>
      <c r="R27" s="46">
        <v>9678.9600000000009</v>
      </c>
      <c r="S27" s="46">
        <v>5722.6399999999994</v>
      </c>
      <c r="T27" s="46"/>
      <c r="Y27">
        <v>2000</v>
      </c>
      <c r="Z27">
        <v>7</v>
      </c>
      <c r="AA27" s="8">
        <v>4922.1104307174674</v>
      </c>
      <c r="AB27" s="8">
        <v>0</v>
      </c>
      <c r="AC27" s="8">
        <v>0</v>
      </c>
      <c r="AD27" s="11">
        <v>79.456101700663709</v>
      </c>
      <c r="AT27" s="11">
        <f t="shared" si="143"/>
        <v>174.57744660884777</v>
      </c>
      <c r="AU27">
        <v>2</v>
      </c>
      <c r="AV27" s="11"/>
      <c r="BJ27">
        <v>0.92775556959384198</v>
      </c>
      <c r="BK27">
        <v>7526.4845024839351</v>
      </c>
      <c r="BL27" t="e">
        <v>#N/A</v>
      </c>
      <c r="BM27" t="e">
        <v>#N/A</v>
      </c>
      <c r="CR27">
        <v>2000</v>
      </c>
      <c r="CS27">
        <v>7</v>
      </c>
      <c r="CT27" s="11">
        <v>95.786415100097685</v>
      </c>
      <c r="CU27" s="11">
        <v>0</v>
      </c>
      <c r="CV27" s="11">
        <v>0</v>
      </c>
      <c r="CW27" s="8">
        <v>33.084044510126112</v>
      </c>
      <c r="CX27" s="8">
        <v>0</v>
      </c>
      <c r="CY27" s="8">
        <v>0</v>
      </c>
      <c r="DN27">
        <v>3125000</v>
      </c>
      <c r="DO27">
        <v>0</v>
      </c>
      <c r="DS27" t="s">
        <v>420</v>
      </c>
      <c r="DT27" t="s">
        <v>421</v>
      </c>
      <c r="DU27" t="s">
        <v>271</v>
      </c>
      <c r="FH27">
        <v>2000</v>
      </c>
      <c r="FI27" s="66">
        <v>8</v>
      </c>
      <c r="FJ27" s="8">
        <v>0</v>
      </c>
      <c r="FK27" s="8">
        <v>0</v>
      </c>
      <c r="FL27" s="8">
        <v>0</v>
      </c>
      <c r="FM27" s="8">
        <v>21.616</v>
      </c>
    </row>
    <row r="28" spans="1:220" x14ac:dyDescent="0.25">
      <c r="Y28">
        <v>2000</v>
      </c>
      <c r="Z28">
        <v>8</v>
      </c>
      <c r="AA28" s="8">
        <v>9993.1135356426275</v>
      </c>
      <c r="AB28" s="8">
        <v>0</v>
      </c>
      <c r="AC28" s="8">
        <v>0</v>
      </c>
      <c r="AD28" s="11">
        <v>79.456101700663709</v>
      </c>
      <c r="AT28" s="11">
        <f t="shared" si="143"/>
        <v>377.36595744680852</v>
      </c>
      <c r="AU28">
        <v>5</v>
      </c>
      <c r="AV28" s="11"/>
      <c r="BJ28">
        <v>47.086957468130628</v>
      </c>
      <c r="BK28">
        <v>11</v>
      </c>
      <c r="BL28" t="e">
        <v>#N/A</v>
      </c>
      <c r="BM28" t="e">
        <v>#N/A</v>
      </c>
      <c r="CR28">
        <v>2000</v>
      </c>
      <c r="CS28">
        <v>8</v>
      </c>
      <c r="CT28" s="11">
        <v>707.64167690277145</v>
      </c>
      <c r="CU28" s="11">
        <v>0</v>
      </c>
      <c r="CV28" s="11">
        <v>0</v>
      </c>
      <c r="CW28" s="8">
        <v>48.142211510986087</v>
      </c>
      <c r="CX28" s="8">
        <v>3.0647667884826655</v>
      </c>
      <c r="CY28" s="8">
        <v>0</v>
      </c>
      <c r="DS28">
        <f t="array" ref="DS28:DU32">LINEST(DR3:DR17,DS3:DU17,0,1)</f>
        <v>6.7471845387928102</v>
      </c>
      <c r="DT28">
        <v>0.85428166380638881</v>
      </c>
      <c r="DU28">
        <v>0.33659786574086725</v>
      </c>
      <c r="FH28">
        <v>2000</v>
      </c>
      <c r="FI28" s="66">
        <v>9</v>
      </c>
      <c r="FJ28" s="8">
        <v>314.10397672653318</v>
      </c>
      <c r="FK28" s="8">
        <v>0</v>
      </c>
      <c r="FL28" s="8">
        <v>0</v>
      </c>
      <c r="FM28" s="8">
        <v>4.3894000000000002E-2</v>
      </c>
      <c r="HF28" s="15">
        <f t="shared" ref="HF28:HI28" si="146">HF22/HF23</f>
        <v>3.8027813018654371</v>
      </c>
      <c r="HG28" s="15">
        <f t="shared" si="146"/>
        <v>2.5749136504279306</v>
      </c>
      <c r="HH28" s="15">
        <f t="shared" si="146"/>
        <v>1.5653854928534405</v>
      </c>
      <c r="HI28" s="15">
        <f t="shared" si="146"/>
        <v>5.0898121444050508</v>
      </c>
    </row>
    <row r="29" spans="1:220" x14ac:dyDescent="0.25">
      <c r="Y29">
        <v>2000</v>
      </c>
      <c r="Z29">
        <v>9</v>
      </c>
      <c r="AA29" s="8">
        <v>28558.995798945431</v>
      </c>
      <c r="AB29" s="8">
        <v>0</v>
      </c>
      <c r="AC29" s="8">
        <v>0</v>
      </c>
      <c r="AD29" s="11">
        <v>76.418626666069173</v>
      </c>
      <c r="AT29" s="11">
        <f t="shared" si="143"/>
        <v>354.99063845441691</v>
      </c>
      <c r="AU29">
        <v>22</v>
      </c>
      <c r="AV29" s="11"/>
      <c r="BJ29">
        <v>8002141516.0925617</v>
      </c>
      <c r="BK29">
        <v>623127658.62743938</v>
      </c>
      <c r="BL29" t="e">
        <v>#N/A</v>
      </c>
      <c r="BM29" t="e">
        <v>#N/A</v>
      </c>
      <c r="CR29">
        <v>2000</v>
      </c>
      <c r="CS29">
        <v>9</v>
      </c>
      <c r="CT29" s="11">
        <v>1491.3385577201841</v>
      </c>
      <c r="CU29" s="11">
        <v>0</v>
      </c>
      <c r="CV29" s="11">
        <v>0</v>
      </c>
      <c r="CW29" s="8">
        <v>1121.5419910043479</v>
      </c>
      <c r="CX29" s="8">
        <v>24.682586920261393</v>
      </c>
      <c r="CY29" s="8">
        <v>0</v>
      </c>
      <c r="DS29">
        <v>8.031915669384091</v>
      </c>
      <c r="DT29">
        <v>0.22466881854064788</v>
      </c>
      <c r="DU29">
        <v>0.10496224929326378</v>
      </c>
      <c r="FH29">
        <v>2000</v>
      </c>
      <c r="FI29" s="66">
        <v>10</v>
      </c>
      <c r="FJ29" s="8">
        <v>20.096305876970288</v>
      </c>
      <c r="FK29" s="8">
        <v>1264.470581054688</v>
      </c>
      <c r="FL29" s="8">
        <v>0</v>
      </c>
      <c r="FM29" s="8">
        <v>1847.9</v>
      </c>
      <c r="HF29" s="76">
        <v>0.995</v>
      </c>
      <c r="HG29" s="75">
        <v>0.95</v>
      </c>
      <c r="HH29" s="75">
        <v>0.75</v>
      </c>
      <c r="HI29" s="76">
        <v>0.995</v>
      </c>
    </row>
    <row r="30" spans="1:220" x14ac:dyDescent="0.25">
      <c r="A30" t="s">
        <v>211</v>
      </c>
      <c r="Y30">
        <v>2000</v>
      </c>
      <c r="Z30">
        <v>10</v>
      </c>
      <c r="AA30" s="8">
        <v>950.71050068736076</v>
      </c>
      <c r="AB30" s="8">
        <v>0</v>
      </c>
      <c r="AC30" s="8">
        <v>0</v>
      </c>
      <c r="AD30" s="11">
        <v>79.456101700663709</v>
      </c>
      <c r="AF30">
        <f>Y30</f>
        <v>2000</v>
      </c>
      <c r="AG30" s="8">
        <f>SUM(AA27:AA31)</f>
        <v>44441.219954250388</v>
      </c>
      <c r="AH30" s="8">
        <f>SUM(AB27:AB31)</f>
        <v>22072.671673901379</v>
      </c>
      <c r="AI30" s="8">
        <f>SUM(AC19:AC30)</f>
        <v>0</v>
      </c>
      <c r="AJ30" s="8">
        <f>AG30+AH30</f>
        <v>66513.89162815176</v>
      </c>
      <c r="AT30" s="11">
        <f t="shared" si="143"/>
        <v>385.58638306069884</v>
      </c>
      <c r="AU30">
        <v>23</v>
      </c>
      <c r="AV30" s="11"/>
      <c r="CR30">
        <v>2000</v>
      </c>
      <c r="CS30">
        <v>10</v>
      </c>
      <c r="CT30" s="11">
        <v>0</v>
      </c>
      <c r="CU30" s="11">
        <v>0</v>
      </c>
      <c r="CV30" s="11">
        <v>0</v>
      </c>
      <c r="CW30" s="8">
        <v>422.88720742873858</v>
      </c>
      <c r="CX30" s="8">
        <v>51.981679689884167</v>
      </c>
      <c r="CY30" s="8">
        <v>0</v>
      </c>
      <c r="CZ30">
        <f>CR30</f>
        <v>2000</v>
      </c>
      <c r="DA30" s="8">
        <f>SUM(CT27:CT35)+SUM(CW27:CW35)</f>
        <v>6051.3723209518948</v>
      </c>
      <c r="DB30" s="8">
        <f>SUM(CU20:CU31)+SUM(CX20:CX31)</f>
        <v>5333.8593380826132</v>
      </c>
      <c r="DC30" s="8">
        <f>SUM(CV20:CV31)+SUM(CY20:CY31)</f>
        <v>4360.4779418945363</v>
      </c>
      <c r="DS30">
        <v>0.9104264609476459</v>
      </c>
      <c r="DT30">
        <v>3064.2621526162507</v>
      </c>
      <c r="DU30" t="e">
        <v>#N/A</v>
      </c>
      <c r="FH30">
        <v>2000</v>
      </c>
      <c r="FI30" s="66">
        <v>11</v>
      </c>
      <c r="FJ30" s="8">
        <v>4.9443678855895996</v>
      </c>
      <c r="FK30" s="8">
        <v>3293.6642456054687</v>
      </c>
      <c r="FL30" s="8">
        <v>0</v>
      </c>
      <c r="FM30" s="8">
        <v>5306.7</v>
      </c>
      <c r="FN30">
        <f>FH30</f>
        <v>2000</v>
      </c>
      <c r="FO30" s="8">
        <f>SUM(FJ26:FJ34)</f>
        <v>6709.8684773743189</v>
      </c>
      <c r="FP30" s="8">
        <f>SUM(FK18:FK29)</f>
        <v>7100.6723370552099</v>
      </c>
      <c r="FQ30" s="8">
        <f>SUM(FL18:FL29)</f>
        <v>0</v>
      </c>
      <c r="FR30" s="8">
        <f>SUM(FM18:FM29)</f>
        <v>6023.0728940000008</v>
      </c>
      <c r="HF30" s="15">
        <f>TINV(0.005,11)</f>
        <v>3.4966141732536715</v>
      </c>
      <c r="HG30" s="15">
        <f>TINV(0.05,11)</f>
        <v>2.2009851600916384</v>
      </c>
      <c r="HH30" s="15">
        <f>TINV(0.25,11)</f>
        <v>1.2144602462736005</v>
      </c>
      <c r="HI30" s="15">
        <f t="shared" ref="HG30:HI30" si="147">TINV(0.005,11)</f>
        <v>3.4966141732536715</v>
      </c>
    </row>
    <row r="31" spans="1:220" x14ac:dyDescent="0.25">
      <c r="B31" t="s">
        <v>199</v>
      </c>
      <c r="C31" t="s">
        <v>200</v>
      </c>
      <c r="D31" t="s">
        <v>201</v>
      </c>
      <c r="E31" t="s">
        <v>202</v>
      </c>
      <c r="F31" t="s">
        <v>203</v>
      </c>
      <c r="G31" t="s">
        <v>204</v>
      </c>
      <c r="H31" t="s">
        <v>123</v>
      </c>
      <c r="Y31">
        <v>2000</v>
      </c>
      <c r="Z31">
        <v>11</v>
      </c>
      <c r="AA31" s="8">
        <v>16.289688257500529</v>
      </c>
      <c r="AB31" s="8">
        <v>22072.671673901379</v>
      </c>
      <c r="AC31" s="8">
        <v>44533.772300720251</v>
      </c>
      <c r="AD31" s="11">
        <v>76.893001645803594</v>
      </c>
      <c r="AG31" s="8">
        <f>SUM(AA27:AA34)</f>
        <v>109070.15078013952</v>
      </c>
      <c r="AH31" s="8">
        <f>SUM(AB27:AB34)</f>
        <v>35168.692962296307</v>
      </c>
      <c r="AI31" s="8">
        <f>SUM(AC19:AC30)</f>
        <v>0</v>
      </c>
      <c r="AT31" s="11">
        <f t="shared" si="143"/>
        <v>384.80255376531716</v>
      </c>
      <c r="AU31">
        <v>101</v>
      </c>
      <c r="AV31" s="11"/>
      <c r="CR31">
        <v>2000</v>
      </c>
      <c r="CS31">
        <v>11</v>
      </c>
      <c r="CT31" s="11">
        <v>0</v>
      </c>
      <c r="CU31" s="11">
        <v>408.12583827972423</v>
      </c>
      <c r="CV31" s="11">
        <v>2445.234741210943</v>
      </c>
      <c r="CW31" s="8">
        <v>250.65398359894749</v>
      </c>
      <c r="CX31" s="8">
        <v>4040.8926546138605</v>
      </c>
      <c r="CY31" s="8">
        <v>1915.2432006835938</v>
      </c>
      <c r="DA31" s="8">
        <f>SUM(CT27:CT34)</f>
        <v>3389.862907886506</v>
      </c>
      <c r="DB31" s="8">
        <f>SUM(CU27:CU34)</f>
        <v>418.50349330902111</v>
      </c>
      <c r="DC31" s="8">
        <f>SUM(CV19:CV30)</f>
        <v>0</v>
      </c>
      <c r="DS31">
        <v>40.656045103477148</v>
      </c>
      <c r="DT31">
        <v>12</v>
      </c>
      <c r="DU31" t="e">
        <v>#N/A</v>
      </c>
      <c r="FH31">
        <v>2000</v>
      </c>
      <c r="FI31" s="66">
        <v>12</v>
      </c>
      <c r="FJ31" s="8">
        <v>0</v>
      </c>
      <c r="FK31" s="8">
        <v>4133.8303298950195</v>
      </c>
      <c r="FL31" s="8">
        <v>16.703125</v>
      </c>
      <c r="FM31" s="8">
        <v>7246.8</v>
      </c>
    </row>
    <row r="32" spans="1:220" x14ac:dyDescent="0.25">
      <c r="A32" t="s">
        <v>205</v>
      </c>
      <c r="B32" s="8">
        <v>275</v>
      </c>
      <c r="C32" s="8">
        <v>32961</v>
      </c>
      <c r="D32" s="8">
        <v>4188</v>
      </c>
      <c r="E32" s="8">
        <v>3438</v>
      </c>
      <c r="F32" s="8">
        <v>808</v>
      </c>
      <c r="G32" s="8">
        <v>54740</v>
      </c>
      <c r="H32" s="8">
        <f>SUM(B32:G32)</f>
        <v>96410</v>
      </c>
      <c r="Y32">
        <v>2000</v>
      </c>
      <c r="Z32">
        <v>12</v>
      </c>
      <c r="AA32" s="8">
        <v>16097.54022598267</v>
      </c>
      <c r="AB32" s="8">
        <v>13036.660829067232</v>
      </c>
      <c r="AC32" s="8">
        <v>46.244140625</v>
      </c>
      <c r="AD32" s="11">
        <v>79.456101700663709</v>
      </c>
      <c r="AT32" s="11">
        <f t="shared" si="143"/>
        <v>544.04212801710082</v>
      </c>
      <c r="AU32">
        <v>100</v>
      </c>
      <c r="AV32" s="11"/>
      <c r="CR32">
        <v>2000</v>
      </c>
      <c r="CS32">
        <v>12</v>
      </c>
      <c r="CT32" s="11">
        <v>0</v>
      </c>
      <c r="CU32" s="11">
        <v>10.37765502929688</v>
      </c>
      <c r="CV32" s="11">
        <v>0</v>
      </c>
      <c r="CW32" s="8">
        <v>32.251454009115697</v>
      </c>
      <c r="CX32" s="8">
        <v>382.15809246568278</v>
      </c>
      <c r="CY32" s="8">
        <v>0</v>
      </c>
      <c r="DS32">
        <v>1145244509.9181013</v>
      </c>
      <c r="DT32">
        <v>112676430.47947653</v>
      </c>
      <c r="DU32" t="e">
        <v>#N/A</v>
      </c>
      <c r="FH32">
        <v>2001</v>
      </c>
      <c r="FI32" s="66">
        <v>1</v>
      </c>
      <c r="FJ32" s="8">
        <v>0</v>
      </c>
      <c r="FK32" s="8">
        <v>12.099609375</v>
      </c>
      <c r="FL32" s="8">
        <v>0</v>
      </c>
      <c r="FM32" s="8">
        <v>903.71</v>
      </c>
    </row>
    <row r="33" spans="1:174" x14ac:dyDescent="0.25">
      <c r="A33" t="s">
        <v>206</v>
      </c>
      <c r="B33" s="8">
        <v>42</v>
      </c>
      <c r="C33" s="8">
        <v>9279</v>
      </c>
      <c r="D33" s="8"/>
      <c r="E33" s="8">
        <v>5688</v>
      </c>
      <c r="F33" s="8">
        <v>1000</v>
      </c>
      <c r="G33" s="8">
        <v>848</v>
      </c>
      <c r="H33" s="8">
        <f t="shared" ref="H33:H37" si="148">SUM(B33:G33)</f>
        <v>16857</v>
      </c>
      <c r="Y33">
        <v>2001</v>
      </c>
      <c r="Z33">
        <v>1</v>
      </c>
      <c r="AA33" s="8">
        <v>45361.354447782054</v>
      </c>
      <c r="AB33" s="8">
        <v>0</v>
      </c>
      <c r="AC33" s="8">
        <v>0</v>
      </c>
      <c r="AD33" s="11">
        <v>79.456101700663709</v>
      </c>
      <c r="AT33" s="11">
        <f t="shared" si="143"/>
        <v>209.6272339800571</v>
      </c>
      <c r="AU33">
        <v>196</v>
      </c>
      <c r="AV33" s="11"/>
      <c r="CR33">
        <v>2001</v>
      </c>
      <c r="CS33">
        <v>1</v>
      </c>
      <c r="CT33" s="11">
        <v>1086.2322673797614</v>
      </c>
      <c r="CU33" s="11">
        <v>0</v>
      </c>
      <c r="CV33" s="11">
        <v>0</v>
      </c>
      <c r="CW33" s="8">
        <v>458.69218669831776</v>
      </c>
      <c r="CX33" s="8">
        <v>91.25395550727842</v>
      </c>
      <c r="CY33" s="8">
        <v>541.80615234375</v>
      </c>
      <c r="FH33">
        <v>2001</v>
      </c>
      <c r="FI33" s="66">
        <v>2</v>
      </c>
      <c r="FJ33" s="8">
        <v>2520.1404876709016</v>
      </c>
      <c r="FK33" s="8">
        <v>0</v>
      </c>
      <c r="FL33" s="8">
        <v>0</v>
      </c>
      <c r="FM33" s="8">
        <v>4681.8999999999996</v>
      </c>
    </row>
    <row r="34" spans="1:174" x14ac:dyDescent="0.25">
      <c r="A34" t="s">
        <v>207</v>
      </c>
      <c r="B34" s="8">
        <v>490</v>
      </c>
      <c r="C34" s="8">
        <v>34868</v>
      </c>
      <c r="D34" s="8">
        <v>5160</v>
      </c>
      <c r="E34" s="8">
        <v>77019</v>
      </c>
      <c r="F34" s="8">
        <v>34860</v>
      </c>
      <c r="G34" s="8">
        <v>16302</v>
      </c>
      <c r="H34" s="8">
        <f t="shared" si="148"/>
        <v>168699</v>
      </c>
      <c r="Y34">
        <v>2001</v>
      </c>
      <c r="Z34">
        <v>2</v>
      </c>
      <c r="AA34" s="8">
        <v>3170.0361521244054</v>
      </c>
      <c r="AB34" s="8">
        <v>59.360459327697797</v>
      </c>
      <c r="AC34" s="8">
        <v>0</v>
      </c>
      <c r="AD34" s="11">
        <v>71.766801536083364</v>
      </c>
      <c r="AL34" t="s">
        <v>261</v>
      </c>
      <c r="AT34" s="11">
        <f t="shared" si="143"/>
        <v>203.46680840532832</v>
      </c>
      <c r="AU34">
        <v>83</v>
      </c>
      <c r="AV34" s="11"/>
      <c r="CR34">
        <v>2001</v>
      </c>
      <c r="CS34">
        <v>2</v>
      </c>
      <c r="CT34" s="11">
        <v>8.8639907836914098</v>
      </c>
      <c r="CU34" s="11">
        <v>0</v>
      </c>
      <c r="CV34" s="11">
        <v>0</v>
      </c>
      <c r="CW34" s="8">
        <v>4.975596834719183</v>
      </c>
      <c r="CX34" s="8">
        <v>1859.9875872077887</v>
      </c>
      <c r="CY34" s="8">
        <v>670.52852783203161</v>
      </c>
      <c r="FH34">
        <v>2001</v>
      </c>
      <c r="FI34" s="66">
        <v>3</v>
      </c>
      <c r="FJ34" s="8">
        <v>3850.5833392143245</v>
      </c>
      <c r="FK34" s="8">
        <v>0</v>
      </c>
      <c r="FL34" s="8">
        <v>0</v>
      </c>
      <c r="FM34" s="8">
        <v>765.87</v>
      </c>
    </row>
    <row r="35" spans="1:174" x14ac:dyDescent="0.25">
      <c r="A35" t="s">
        <v>208</v>
      </c>
      <c r="B35" s="8">
        <v>777</v>
      </c>
      <c r="C35" s="8">
        <v>46091</v>
      </c>
      <c r="D35" s="8"/>
      <c r="E35" s="8">
        <v>102722</v>
      </c>
      <c r="F35" s="8">
        <v>51257</v>
      </c>
      <c r="G35" s="8">
        <v>20248</v>
      </c>
      <c r="H35" s="8">
        <f t="shared" si="148"/>
        <v>221095</v>
      </c>
      <c r="Y35">
        <v>2001</v>
      </c>
      <c r="Z35">
        <v>3</v>
      </c>
      <c r="AA35" s="8">
        <v>7538.5752131938925</v>
      </c>
      <c r="AB35" s="8">
        <v>2043.662307739263</v>
      </c>
      <c r="AC35" s="8">
        <v>0</v>
      </c>
      <c r="AD35" s="11">
        <v>79.456101700663709</v>
      </c>
      <c r="AL35" t="s">
        <v>262</v>
      </c>
      <c r="AM35" t="s">
        <v>263</v>
      </c>
      <c r="AT35" t="s">
        <v>258</v>
      </c>
      <c r="AU35" t="s">
        <v>259</v>
      </c>
      <c r="AV35" t="s">
        <v>260</v>
      </c>
      <c r="CR35">
        <v>2001</v>
      </c>
      <c r="CS35">
        <v>3</v>
      </c>
      <c r="CT35" s="11">
        <v>284.15292358398443</v>
      </c>
      <c r="CU35" s="11">
        <v>585.92376708984398</v>
      </c>
      <c r="CV35" s="11">
        <v>0</v>
      </c>
      <c r="CW35" s="8">
        <v>5.127813886106015</v>
      </c>
      <c r="CX35" s="8">
        <v>570.60307223298594</v>
      </c>
      <c r="CY35" s="8">
        <v>0</v>
      </c>
      <c r="FH35">
        <v>2001</v>
      </c>
      <c r="FI35" s="66">
        <v>4</v>
      </c>
      <c r="FJ35" s="8">
        <v>820.61224174499546</v>
      </c>
      <c r="FK35" s="8">
        <v>750.7753067016597</v>
      </c>
      <c r="FL35" s="8">
        <v>0</v>
      </c>
      <c r="FM35" s="8">
        <v>278.26</v>
      </c>
    </row>
    <row r="36" spans="1:174" x14ac:dyDescent="0.25">
      <c r="A36" t="s">
        <v>209</v>
      </c>
      <c r="B36" s="8">
        <v>94</v>
      </c>
      <c r="C36" s="8"/>
      <c r="D36" s="8"/>
      <c r="E36" s="8">
        <v>2916</v>
      </c>
      <c r="F36" s="8">
        <v>1140</v>
      </c>
      <c r="G36" s="8">
        <v>25629</v>
      </c>
      <c r="H36" s="8">
        <f t="shared" si="148"/>
        <v>29779</v>
      </c>
      <c r="Y36">
        <v>2001</v>
      </c>
      <c r="Z36">
        <v>4</v>
      </c>
      <c r="AA36" s="8">
        <v>1764.3902606964116</v>
      </c>
      <c r="AB36" s="8">
        <v>1820.024241447449</v>
      </c>
      <c r="AC36" s="8">
        <v>0</v>
      </c>
      <c r="AD36" s="11">
        <v>76.893001645803594</v>
      </c>
      <c r="AL36">
        <v>5</v>
      </c>
      <c r="AM36">
        <v>8000</v>
      </c>
      <c r="AT36" s="17">
        <f t="array" ref="AT36:AV40">LINEST(AQ10:AQ17,AT27:AU34,1,1)</f>
        <v>-345.57998234819371</v>
      </c>
      <c r="AU36" s="17">
        <v>-186.21767026086187</v>
      </c>
      <c r="AV36" s="17">
        <v>159814.42448387097</v>
      </c>
      <c r="CR36">
        <v>2001</v>
      </c>
      <c r="CS36">
        <v>4</v>
      </c>
      <c r="CT36" s="11">
        <v>0</v>
      </c>
      <c r="CU36" s="11">
        <v>324.5</v>
      </c>
      <c r="CV36" s="11">
        <v>0</v>
      </c>
      <c r="CW36" s="8">
        <v>1.5863732665777213</v>
      </c>
      <c r="CX36" s="8">
        <v>151.22664691696437</v>
      </c>
      <c r="CY36" s="8">
        <v>0</v>
      </c>
      <c r="FH36">
        <v>2001</v>
      </c>
      <c r="FI36" s="66">
        <v>5</v>
      </c>
      <c r="FJ36" s="8">
        <v>118.07639408111575</v>
      </c>
      <c r="FK36" s="8">
        <v>0</v>
      </c>
      <c r="FL36" s="8">
        <v>0</v>
      </c>
      <c r="FM36" s="8">
        <v>5.6729000000000003</v>
      </c>
    </row>
    <row r="37" spans="1:174" x14ac:dyDescent="0.25">
      <c r="A37" t="s">
        <v>210</v>
      </c>
      <c r="B37" s="8">
        <v>106</v>
      </c>
      <c r="C37" s="8"/>
      <c r="D37" s="8">
        <v>5429</v>
      </c>
      <c r="E37" s="8">
        <v>9897</v>
      </c>
      <c r="F37" s="8">
        <v>8501</v>
      </c>
      <c r="G37" s="8"/>
      <c r="H37" s="8">
        <f t="shared" si="148"/>
        <v>23933</v>
      </c>
      <c r="Y37">
        <v>2001</v>
      </c>
      <c r="Z37">
        <v>5</v>
      </c>
      <c r="AA37" s="8">
        <v>374.44315952062601</v>
      </c>
      <c r="AB37" s="8">
        <v>0</v>
      </c>
      <c r="AC37" s="8">
        <v>0</v>
      </c>
      <c r="AD37" s="11">
        <v>79.456101700663709</v>
      </c>
      <c r="AL37">
        <v>100</v>
      </c>
      <c r="AM37">
        <v>2000</v>
      </c>
      <c r="AT37" s="17">
        <v>83.635417258806854</v>
      </c>
      <c r="AU37" s="17">
        <v>44.636969256982304</v>
      </c>
      <c r="AV37" s="17">
        <v>16974.835466319451</v>
      </c>
      <c r="CR37">
        <v>2001</v>
      </c>
      <c r="CS37">
        <v>5</v>
      </c>
      <c r="CT37" s="11">
        <v>7.1250915527343803</v>
      </c>
      <c r="CU37" s="11">
        <v>0</v>
      </c>
      <c r="CV37" s="11">
        <v>0</v>
      </c>
      <c r="CW37" s="8">
        <v>1.7425560861825933</v>
      </c>
      <c r="CX37" s="8">
        <v>0</v>
      </c>
      <c r="CY37" s="8">
        <v>0</v>
      </c>
      <c r="FH37">
        <v>2001</v>
      </c>
      <c r="FI37" s="66">
        <v>6</v>
      </c>
      <c r="FJ37" s="8">
        <v>130.54324150085449</v>
      </c>
      <c r="FK37" s="8">
        <v>0</v>
      </c>
      <c r="FL37" s="8">
        <v>0</v>
      </c>
      <c r="FM37" s="8">
        <v>0</v>
      </c>
    </row>
    <row r="38" spans="1:174" x14ac:dyDescent="0.25">
      <c r="K38" t="s">
        <v>212</v>
      </c>
      <c r="L38" t="s">
        <v>28</v>
      </c>
      <c r="M38" t="s">
        <v>29</v>
      </c>
      <c r="N38" t="s">
        <v>30</v>
      </c>
      <c r="O38" t="s">
        <v>31</v>
      </c>
      <c r="P38" t="s">
        <v>32</v>
      </c>
      <c r="Q38" t="s">
        <v>33</v>
      </c>
      <c r="R38" t="s">
        <v>34</v>
      </c>
      <c r="S38" t="s">
        <v>35</v>
      </c>
      <c r="T38" t="s">
        <v>213</v>
      </c>
      <c r="U38" t="s">
        <v>214</v>
      </c>
      <c r="V38" t="s">
        <v>215</v>
      </c>
      <c r="Y38">
        <v>2001</v>
      </c>
      <c r="Z38">
        <v>6</v>
      </c>
      <c r="AA38" s="8">
        <v>3292.3781104721133</v>
      </c>
      <c r="AB38" s="8">
        <v>0</v>
      </c>
      <c r="AC38" s="8">
        <v>0</v>
      </c>
      <c r="AD38" s="11">
        <v>76.893001645803594</v>
      </c>
      <c r="AT38">
        <v>0.86391571711423731</v>
      </c>
      <c r="AU38">
        <v>14710.917011196885</v>
      </c>
      <c r="AV38" t="e">
        <v>#N/A</v>
      </c>
      <c r="CR38">
        <v>2001</v>
      </c>
      <c r="CS38">
        <v>6</v>
      </c>
      <c r="CT38" s="11">
        <v>371.84448909759567</v>
      </c>
      <c r="CU38" s="11">
        <v>0</v>
      </c>
      <c r="CV38" s="11">
        <v>0</v>
      </c>
      <c r="CW38" s="8">
        <v>0.72313422262668614</v>
      </c>
      <c r="CX38" s="8">
        <v>0</v>
      </c>
      <c r="CY38" s="8">
        <v>0</v>
      </c>
      <c r="FH38">
        <v>2001</v>
      </c>
      <c r="FI38" s="66">
        <v>7</v>
      </c>
      <c r="FJ38" s="8">
        <v>195.63279438018805</v>
      </c>
      <c r="FK38" s="8">
        <v>0</v>
      </c>
      <c r="FL38" s="8">
        <v>0</v>
      </c>
      <c r="FM38" s="8">
        <v>0</v>
      </c>
    </row>
    <row r="39" spans="1:174" x14ac:dyDescent="0.25">
      <c r="K39" t="s">
        <v>216</v>
      </c>
      <c r="L39" s="8">
        <v>157463</v>
      </c>
      <c r="M39" s="8">
        <v>154169.19999999998</v>
      </c>
      <c r="N39" s="8">
        <v>150882.4</v>
      </c>
      <c r="O39" s="8">
        <v>147389.91999999998</v>
      </c>
      <c r="P39" s="8">
        <v>143897.44</v>
      </c>
      <c r="Q39" s="8">
        <v>140281.12</v>
      </c>
      <c r="R39" s="8">
        <v>136664.79999999999</v>
      </c>
      <c r="S39" s="8">
        <v>133048.48000000001</v>
      </c>
      <c r="T39" s="8">
        <v>129432.15999999999</v>
      </c>
      <c r="U39" s="8">
        <v>125815.84</v>
      </c>
      <c r="V39" s="8">
        <v>122100</v>
      </c>
      <c r="Y39">
        <v>2001</v>
      </c>
      <c r="Z39">
        <v>7</v>
      </c>
      <c r="AA39" s="8">
        <v>10816.9222728163</v>
      </c>
      <c r="AB39" s="8">
        <v>0</v>
      </c>
      <c r="AC39" s="8">
        <v>0</v>
      </c>
      <c r="AD39" s="11">
        <v>79.456101700663709</v>
      </c>
      <c r="AL39" s="11">
        <f t="array" ref="AL39:AM43">LINEST(AM36:AM37,AL36:AL37,1,1)</f>
        <v>-63.157894736842096</v>
      </c>
      <c r="AM39" s="11">
        <v>8315.78947368421</v>
      </c>
      <c r="AT39">
        <v>15.870967954459886</v>
      </c>
      <c r="AU39">
        <v>5</v>
      </c>
      <c r="AV39" t="e">
        <v>#N/A</v>
      </c>
      <c r="CR39">
        <v>2001</v>
      </c>
      <c r="CS39">
        <v>7</v>
      </c>
      <c r="CT39" s="11">
        <v>540.81646931171429</v>
      </c>
      <c r="CU39" s="11">
        <v>0</v>
      </c>
      <c r="CV39" s="11">
        <v>0</v>
      </c>
      <c r="CW39" s="8">
        <v>4.7653752028942149</v>
      </c>
      <c r="CX39" s="8">
        <v>9.625</v>
      </c>
      <c r="CY39" s="8">
        <v>0</v>
      </c>
      <c r="FH39">
        <v>2001</v>
      </c>
      <c r="FI39" s="66">
        <v>8</v>
      </c>
      <c r="FJ39" s="8">
        <v>185.90780973434448</v>
      </c>
      <c r="FK39" s="8">
        <v>0</v>
      </c>
      <c r="FL39" s="8">
        <v>0</v>
      </c>
      <c r="FM39" s="8">
        <v>3564.4</v>
      </c>
    </row>
    <row r="40" spans="1:174" x14ac:dyDescent="0.25">
      <c r="K40" t="s">
        <v>217</v>
      </c>
      <c r="L40" s="8">
        <v>107005</v>
      </c>
      <c r="M40" s="8">
        <v>104904.5</v>
      </c>
      <c r="N40" s="8">
        <v>102804</v>
      </c>
      <c r="O40" s="8">
        <v>100703.5</v>
      </c>
      <c r="P40" s="8">
        <v>98603</v>
      </c>
      <c r="Q40" s="8">
        <v>96502.5</v>
      </c>
      <c r="R40" s="8">
        <v>94402</v>
      </c>
      <c r="S40" s="8">
        <v>92301.5</v>
      </c>
      <c r="T40" s="8">
        <v>90201</v>
      </c>
      <c r="U40" s="8">
        <v>88100.5</v>
      </c>
      <c r="V40" s="8">
        <v>86000</v>
      </c>
      <c r="Y40">
        <v>2001</v>
      </c>
      <c r="Z40">
        <v>8</v>
      </c>
      <c r="AA40" s="8">
        <v>6746.8089265823355</v>
      </c>
      <c r="AB40" s="8">
        <v>0</v>
      </c>
      <c r="AC40" s="8">
        <v>0</v>
      </c>
      <c r="AD40" s="11">
        <v>79.456101700663709</v>
      </c>
      <c r="AL40">
        <v>0</v>
      </c>
      <c r="AM40">
        <v>0</v>
      </c>
      <c r="AT40">
        <v>6869306609.448391</v>
      </c>
      <c r="AU40">
        <v>1082055396.5516095</v>
      </c>
      <c r="AV40" t="e">
        <v>#N/A</v>
      </c>
      <c r="CR40">
        <v>2001</v>
      </c>
      <c r="CS40">
        <v>8</v>
      </c>
      <c r="CT40" s="11">
        <v>28.466224908828728</v>
      </c>
      <c r="CU40" s="11">
        <v>0</v>
      </c>
      <c r="CV40" s="11">
        <v>0</v>
      </c>
      <c r="CW40" s="8">
        <v>0.72647546529769913</v>
      </c>
      <c r="CX40" s="8">
        <v>0</v>
      </c>
      <c r="CY40" s="8">
        <v>0</v>
      </c>
      <c r="FH40">
        <v>2001</v>
      </c>
      <c r="FI40" s="66">
        <v>9</v>
      </c>
      <c r="FJ40" s="8">
        <v>1158.1632394790647</v>
      </c>
      <c r="FK40" s="8">
        <v>0</v>
      </c>
      <c r="FL40" s="8">
        <v>0</v>
      </c>
      <c r="FM40" s="8">
        <v>0</v>
      </c>
    </row>
    <row r="41" spans="1:174" x14ac:dyDescent="0.25">
      <c r="K41" t="s">
        <v>218</v>
      </c>
      <c r="L41" s="8">
        <v>122045.9</v>
      </c>
      <c r="M41" s="8">
        <v>78480.2</v>
      </c>
      <c r="N41" s="8">
        <v>67685.100000000006</v>
      </c>
      <c r="O41" s="8">
        <v>77740.800000000003</v>
      </c>
      <c r="P41" s="8">
        <v>52116.6</v>
      </c>
      <c r="Q41" s="8">
        <v>42567.7</v>
      </c>
      <c r="R41" s="8">
        <v>87291.9</v>
      </c>
      <c r="S41" s="8">
        <v>110929.9</v>
      </c>
      <c r="T41" s="8">
        <v>92158.7</v>
      </c>
      <c r="U41" s="8"/>
      <c r="V41" s="8"/>
      <c r="Y41">
        <v>2001</v>
      </c>
      <c r="Z41">
        <v>9</v>
      </c>
      <c r="AA41" s="8">
        <v>29190.615438401706</v>
      </c>
      <c r="AB41" s="8">
        <v>0</v>
      </c>
      <c r="AC41" s="8">
        <v>0</v>
      </c>
      <c r="AD41" s="11">
        <v>76.893001645803594</v>
      </c>
      <c r="AL41">
        <v>1</v>
      </c>
      <c r="AM41">
        <v>0</v>
      </c>
      <c r="CR41">
        <v>2001</v>
      </c>
      <c r="CS41">
        <v>9</v>
      </c>
      <c r="CT41" s="11">
        <v>1386.4271147251127</v>
      </c>
      <c r="CU41" s="11">
        <v>0</v>
      </c>
      <c r="CV41" s="11">
        <v>0</v>
      </c>
      <c r="CW41" s="8">
        <v>45.5373069047928</v>
      </c>
      <c r="CX41" s="8">
        <v>0</v>
      </c>
      <c r="CY41" s="8">
        <v>0</v>
      </c>
      <c r="FH41">
        <v>2001</v>
      </c>
      <c r="FI41" s="66">
        <v>10</v>
      </c>
      <c r="FJ41" s="8">
        <v>308.61182212829539</v>
      </c>
      <c r="FK41" s="8">
        <v>0</v>
      </c>
      <c r="FL41" s="8">
        <v>0</v>
      </c>
      <c r="FM41" s="8">
        <v>161.33000000000001</v>
      </c>
    </row>
    <row r="42" spans="1:174" x14ac:dyDescent="0.25">
      <c r="K42" t="s">
        <v>219</v>
      </c>
      <c r="L42" s="8">
        <v>124108.20000000001</v>
      </c>
      <c r="M42" s="8">
        <v>102408.7</v>
      </c>
      <c r="N42" s="8">
        <v>72823.8</v>
      </c>
      <c r="O42" s="8">
        <v>82615.000000000015</v>
      </c>
      <c r="P42" s="8">
        <v>30495.200000000001</v>
      </c>
      <c r="Q42" s="8">
        <v>32857.5</v>
      </c>
      <c r="R42" s="8">
        <v>57792.4</v>
      </c>
      <c r="S42" s="8">
        <v>100982.6</v>
      </c>
      <c r="T42" s="8">
        <v>91631.099999999991</v>
      </c>
      <c r="U42" s="8"/>
      <c r="V42" s="8"/>
      <c r="Y42">
        <v>2001</v>
      </c>
      <c r="Z42">
        <v>10</v>
      </c>
      <c r="AA42" s="8">
        <v>1359.3630094730761</v>
      </c>
      <c r="AB42" s="8">
        <v>0</v>
      </c>
      <c r="AC42" s="8">
        <v>0</v>
      </c>
      <c r="AD42" s="11">
        <v>79.456101700663709</v>
      </c>
      <c r="AF42">
        <f>Y42</f>
        <v>2001</v>
      </c>
      <c r="AG42" s="8">
        <f>SUM(AA39:AA43)</f>
        <v>53899.288672705887</v>
      </c>
      <c r="AH42" s="8">
        <f>SUM(AB39:AB43)</f>
        <v>3148.5084991455128</v>
      </c>
      <c r="AI42" s="8">
        <f>SUM(AC31:AC42)</f>
        <v>44580.016441345251</v>
      </c>
      <c r="AJ42" s="8">
        <f>AG42+AH42</f>
        <v>57047.797171851402</v>
      </c>
      <c r="AL42" t="e">
        <v>#NUM!</v>
      </c>
      <c r="AM42">
        <v>0</v>
      </c>
      <c r="CR42">
        <v>2001</v>
      </c>
      <c r="CS42">
        <v>10</v>
      </c>
      <c r="CT42" s="11">
        <v>22.115918159484863</v>
      </c>
      <c r="CU42" s="11">
        <v>0</v>
      </c>
      <c r="CV42" s="11">
        <v>0</v>
      </c>
      <c r="CW42" s="8">
        <v>56.084155780076983</v>
      </c>
      <c r="CX42" s="8">
        <v>0</v>
      </c>
      <c r="CY42" s="8">
        <v>0</v>
      </c>
      <c r="CZ42">
        <f>CR42</f>
        <v>2001</v>
      </c>
      <c r="DA42" s="8">
        <f>SUM(CT39:CT47)+SUM(CW39:CW47)</f>
        <v>18517.393866464699</v>
      </c>
      <c r="DB42" s="8">
        <f>SUM(CU32:CU43)+SUM(CX32:CX43)</f>
        <v>5290.088000957192</v>
      </c>
      <c r="DC42" s="8">
        <f>SUM(CV32:CV43)+SUM(CY32:CY43)</f>
        <v>1212.3346801757816</v>
      </c>
      <c r="FH42">
        <v>2001</v>
      </c>
      <c r="FI42" s="66">
        <v>11</v>
      </c>
      <c r="FJ42" s="8">
        <v>3060.8861131668164</v>
      </c>
      <c r="FK42" s="8">
        <v>0</v>
      </c>
      <c r="FL42" s="8">
        <v>0</v>
      </c>
      <c r="FM42" s="8">
        <v>48.837000000000003</v>
      </c>
      <c r="FN42">
        <f>FH42</f>
        <v>2001</v>
      </c>
      <c r="FO42" s="8">
        <f>SUM(FJ38:FJ46)</f>
        <v>22029.684010505684</v>
      </c>
      <c r="FP42" s="8">
        <f>SUM(FK30:FK41)</f>
        <v>8190.3694915771484</v>
      </c>
      <c r="FQ42" s="8">
        <f>SUM(FL30:FL41)</f>
        <v>16.703125</v>
      </c>
      <c r="FR42" s="8">
        <f>SUM(FM30:FM41)</f>
        <v>22914.642900000003</v>
      </c>
    </row>
    <row r="43" spans="1:174" x14ac:dyDescent="0.25">
      <c r="Y43">
        <v>2001</v>
      </c>
      <c r="Z43">
        <v>11</v>
      </c>
      <c r="AA43" s="8">
        <v>5785.5790254324675</v>
      </c>
      <c r="AB43" s="8">
        <v>3148.5084991455128</v>
      </c>
      <c r="AC43" s="8">
        <v>0</v>
      </c>
      <c r="AD43" s="11">
        <v>76.893001645803594</v>
      </c>
      <c r="AG43" s="8">
        <f>SUM(AA39:AA46)</f>
        <v>227901.2263323346</v>
      </c>
      <c r="AH43" s="8">
        <f>SUM(AB39:AB46)</f>
        <v>7921.3117091655786</v>
      </c>
      <c r="AI43" s="8">
        <f>SUM(AC31:AC42)</f>
        <v>44580.016441345251</v>
      </c>
      <c r="AL43">
        <v>18000000</v>
      </c>
      <c r="AM43">
        <v>0</v>
      </c>
      <c r="CR43">
        <v>2001</v>
      </c>
      <c r="CS43">
        <v>11</v>
      </c>
      <c r="CT43" s="11">
        <v>34.2750885486603</v>
      </c>
      <c r="CU43" s="11">
        <v>0</v>
      </c>
      <c r="CV43" s="11">
        <v>0</v>
      </c>
      <c r="CW43" s="8">
        <v>262.65518278218804</v>
      </c>
      <c r="CX43" s="8">
        <v>1304.4322245073508</v>
      </c>
      <c r="CY43" s="8">
        <v>0</v>
      </c>
      <c r="DA43" s="8">
        <f>SUM(CT39:CT46)</f>
        <v>6419.4796780347842</v>
      </c>
      <c r="DB43" s="8">
        <f>SUM(CU39:CU46)</f>
        <v>0</v>
      </c>
      <c r="DC43" s="8">
        <f>SUM(CV31:CV42)</f>
        <v>2445.234741210943</v>
      </c>
      <c r="FH43">
        <v>2001</v>
      </c>
      <c r="FI43" s="66">
        <v>12</v>
      </c>
      <c r="FJ43" s="8">
        <v>6879.4620213508588</v>
      </c>
      <c r="FK43" s="8">
        <v>3072.5928478240985</v>
      </c>
      <c r="FL43" s="8">
        <v>0</v>
      </c>
      <c r="FM43" s="8">
        <v>3154</v>
      </c>
    </row>
    <row r="44" spans="1:174" x14ac:dyDescent="0.25">
      <c r="Y44">
        <v>2001</v>
      </c>
      <c r="Z44">
        <v>12</v>
      </c>
      <c r="AA44" s="8">
        <v>51241.216052897289</v>
      </c>
      <c r="AB44" s="8">
        <v>4743.9141676425934</v>
      </c>
      <c r="AC44" s="8">
        <v>0</v>
      </c>
      <c r="AD44" s="11">
        <v>79.456101700663709</v>
      </c>
      <c r="CR44">
        <v>2001</v>
      </c>
      <c r="CS44">
        <v>12</v>
      </c>
      <c r="CT44" s="11">
        <v>201.16749048233024</v>
      </c>
      <c r="CU44" s="11">
        <v>0</v>
      </c>
      <c r="CV44" s="11">
        <v>0</v>
      </c>
      <c r="CW44" s="8">
        <v>38.017391570284978</v>
      </c>
      <c r="CX44" s="8">
        <v>264.88088087831323</v>
      </c>
      <c r="CY44" s="8">
        <v>0</v>
      </c>
      <c r="FH44">
        <v>2002</v>
      </c>
      <c r="FI44" s="66">
        <v>1</v>
      </c>
      <c r="FJ44" s="8">
        <v>7976.618041992193</v>
      </c>
      <c r="FK44" s="8">
        <v>0</v>
      </c>
      <c r="FL44" s="8">
        <v>0</v>
      </c>
      <c r="FM44" s="8">
        <v>495.69</v>
      </c>
    </row>
    <row r="45" spans="1:174" x14ac:dyDescent="0.25">
      <c r="Y45">
        <v>2002</v>
      </c>
      <c r="Z45">
        <v>1</v>
      </c>
      <c r="AA45" s="8">
        <v>76661.794535636916</v>
      </c>
      <c r="AB45" s="8">
        <v>28.889042377471899</v>
      </c>
      <c r="AC45" s="8">
        <v>0</v>
      </c>
      <c r="AD45" s="11">
        <v>79.456101700663709</v>
      </c>
      <c r="CR45">
        <v>2002</v>
      </c>
      <c r="CS45">
        <v>1</v>
      </c>
      <c r="CT45" s="11">
        <v>1978.8841004371659</v>
      </c>
      <c r="CU45" s="11">
        <v>0</v>
      </c>
      <c r="CV45" s="11">
        <v>0</v>
      </c>
      <c r="CW45" s="8">
        <v>5448.5454518847582</v>
      </c>
      <c r="CX45" s="8">
        <v>47.941697120666539</v>
      </c>
      <c r="CY45" s="8">
        <v>0</v>
      </c>
      <c r="FH45">
        <v>2002</v>
      </c>
      <c r="FI45" s="66">
        <v>2</v>
      </c>
      <c r="FJ45" s="8">
        <v>1950.9840316772459</v>
      </c>
      <c r="FK45" s="8">
        <v>0</v>
      </c>
      <c r="FL45" s="8">
        <v>0</v>
      </c>
      <c r="FM45" s="8">
        <v>499.32</v>
      </c>
    </row>
    <row r="46" spans="1:174" x14ac:dyDescent="0.25">
      <c r="Y46">
        <v>2002</v>
      </c>
      <c r="Z46">
        <v>2</v>
      </c>
      <c r="AA46" s="8">
        <v>46098.927071094491</v>
      </c>
      <c r="AB46" s="8">
        <v>0</v>
      </c>
      <c r="AC46" s="8">
        <v>0</v>
      </c>
      <c r="AD46" s="11">
        <v>71.766801536083364</v>
      </c>
      <c r="CR46">
        <v>2002</v>
      </c>
      <c r="CS46">
        <v>2</v>
      </c>
      <c r="CT46" s="11">
        <v>2227.3272714614868</v>
      </c>
      <c r="CU46" s="11">
        <v>0</v>
      </c>
      <c r="CV46" s="11">
        <v>0</v>
      </c>
      <c r="CW46" s="8">
        <v>3499.434743217751</v>
      </c>
      <c r="CX46" s="8">
        <v>69.592801020201335</v>
      </c>
      <c r="CY46" s="8">
        <v>0</v>
      </c>
      <c r="FH46">
        <v>2002</v>
      </c>
      <c r="FI46" s="66">
        <v>3</v>
      </c>
      <c r="FJ46" s="8">
        <v>313.41813659667969</v>
      </c>
      <c r="FK46" s="8">
        <v>0</v>
      </c>
      <c r="FL46" s="8">
        <v>0</v>
      </c>
      <c r="FM46" s="8">
        <v>3.8437999999999999</v>
      </c>
    </row>
    <row r="47" spans="1:174" x14ac:dyDescent="0.25">
      <c r="Y47">
        <v>2002</v>
      </c>
      <c r="Z47">
        <v>3</v>
      </c>
      <c r="AA47" s="8">
        <v>4489.8928521536291</v>
      </c>
      <c r="AB47" s="8">
        <v>0</v>
      </c>
      <c r="AC47" s="8">
        <v>0</v>
      </c>
      <c r="AD47" s="11">
        <v>79.174507487565421</v>
      </c>
      <c r="CR47">
        <v>2002</v>
      </c>
      <c r="CS47">
        <v>3</v>
      </c>
      <c r="CT47" s="11">
        <v>1518.3468523025513</v>
      </c>
      <c r="CU47" s="11">
        <v>0</v>
      </c>
      <c r="CV47" s="11">
        <v>0</v>
      </c>
      <c r="CW47" s="8">
        <v>1223.8012533193219</v>
      </c>
      <c r="CX47" s="8">
        <v>254.16960576549201</v>
      </c>
      <c r="CY47" s="8">
        <v>0</v>
      </c>
      <c r="FH47">
        <v>2002</v>
      </c>
      <c r="FI47" s="66">
        <v>4</v>
      </c>
      <c r="FJ47" s="8">
        <v>0</v>
      </c>
      <c r="FK47" s="8">
        <v>0</v>
      </c>
      <c r="FL47" s="8">
        <v>0</v>
      </c>
      <c r="FM47" s="8">
        <v>326.63</v>
      </c>
    </row>
    <row r="48" spans="1:174" x14ac:dyDescent="0.25">
      <c r="Y48">
        <v>2002</v>
      </c>
      <c r="Z48">
        <v>4</v>
      </c>
      <c r="AA48" s="8">
        <v>5088.4105799496174</v>
      </c>
      <c r="AB48" s="8">
        <v>0</v>
      </c>
      <c r="AC48" s="8">
        <v>0</v>
      </c>
      <c r="AD48" s="11">
        <v>76.893001645803594</v>
      </c>
      <c r="CR48">
        <v>2002</v>
      </c>
      <c r="CS48">
        <v>4</v>
      </c>
      <c r="CT48" s="11">
        <v>0</v>
      </c>
      <c r="CU48" s="11">
        <v>0</v>
      </c>
      <c r="CV48" s="11">
        <v>0</v>
      </c>
      <c r="CW48" s="8">
        <v>6.6953833296895047</v>
      </c>
      <c r="CX48" s="8">
        <v>271.23684595823289</v>
      </c>
      <c r="CY48" s="8">
        <v>0</v>
      </c>
      <c r="FH48">
        <v>2002</v>
      </c>
      <c r="FI48" s="66">
        <v>5</v>
      </c>
      <c r="FJ48" s="8">
        <v>0</v>
      </c>
      <c r="FK48" s="8">
        <v>0</v>
      </c>
      <c r="FL48" s="8">
        <v>0</v>
      </c>
      <c r="FM48" s="8">
        <v>0</v>
      </c>
    </row>
    <row r="49" spans="25:174" x14ac:dyDescent="0.25">
      <c r="Y49">
        <v>2002</v>
      </c>
      <c r="Z49">
        <v>5</v>
      </c>
      <c r="AA49" s="8">
        <v>385.0997372232373</v>
      </c>
      <c r="AB49" s="8">
        <v>0</v>
      </c>
      <c r="AC49" s="8">
        <v>0</v>
      </c>
      <c r="AD49" s="11">
        <v>79.456101700663709</v>
      </c>
      <c r="CR49">
        <v>2002</v>
      </c>
      <c r="CS49">
        <v>5</v>
      </c>
      <c r="CT49" s="11">
        <v>99.964277267456055</v>
      </c>
      <c r="CU49" s="11">
        <v>0</v>
      </c>
      <c r="CV49" s="11">
        <v>0</v>
      </c>
      <c r="CW49" s="8">
        <v>5.8761942416429536</v>
      </c>
      <c r="CX49" s="8">
        <v>0</v>
      </c>
      <c r="CY49" s="8">
        <v>0</v>
      </c>
      <c r="FH49">
        <v>2002</v>
      </c>
      <c r="FI49" s="66">
        <v>6</v>
      </c>
      <c r="FJ49" s="8">
        <v>0</v>
      </c>
      <c r="FK49" s="8">
        <v>0</v>
      </c>
      <c r="FL49" s="8">
        <v>0</v>
      </c>
      <c r="FM49" s="8">
        <v>0</v>
      </c>
    </row>
    <row r="50" spans="25:174" x14ac:dyDescent="0.25">
      <c r="Y50">
        <v>2002</v>
      </c>
      <c r="Z50">
        <v>6</v>
      </c>
      <c r="AA50" s="8">
        <v>83.295771777629852</v>
      </c>
      <c r="AB50" s="8">
        <v>0</v>
      </c>
      <c r="AC50" s="8">
        <v>0</v>
      </c>
      <c r="AD50" s="11">
        <v>76.893001645803594</v>
      </c>
      <c r="CR50">
        <v>2002</v>
      </c>
      <c r="CS50">
        <v>6</v>
      </c>
      <c r="CT50" s="11">
        <v>187.6068103313446</v>
      </c>
      <c r="CU50" s="11">
        <v>0</v>
      </c>
      <c r="CV50" s="11">
        <v>0</v>
      </c>
      <c r="CW50" s="8">
        <v>21.769658292829995</v>
      </c>
      <c r="CX50" s="8">
        <v>0</v>
      </c>
      <c r="CY50" s="8">
        <v>0</v>
      </c>
      <c r="FH50">
        <v>2002</v>
      </c>
      <c r="FI50" s="66">
        <v>7</v>
      </c>
      <c r="FJ50" s="8">
        <v>28.145238995552063</v>
      </c>
      <c r="FK50" s="8">
        <v>0</v>
      </c>
      <c r="FL50" s="8">
        <v>0</v>
      </c>
      <c r="FM50" s="8">
        <v>0</v>
      </c>
    </row>
    <row r="51" spans="25:174" x14ac:dyDescent="0.25">
      <c r="Y51">
        <v>2002</v>
      </c>
      <c r="Z51">
        <v>7</v>
      </c>
      <c r="AA51" s="8">
        <v>20859.25610363856</v>
      </c>
      <c r="AB51" s="8">
        <v>0</v>
      </c>
      <c r="AC51" s="8">
        <v>0</v>
      </c>
      <c r="AD51" s="11">
        <v>73.817624017145775</v>
      </c>
      <c r="CR51">
        <v>2002</v>
      </c>
      <c r="CS51">
        <v>7</v>
      </c>
      <c r="CT51" s="11">
        <v>1419.276648283005</v>
      </c>
      <c r="CU51" s="11">
        <v>0</v>
      </c>
      <c r="CV51" s="11">
        <v>0</v>
      </c>
      <c r="CW51" s="8">
        <v>45.914945930242538</v>
      </c>
      <c r="CX51" s="8">
        <v>0</v>
      </c>
      <c r="CY51" s="8">
        <v>0</v>
      </c>
      <c r="FH51">
        <v>2002</v>
      </c>
      <c r="FI51" s="66">
        <v>8</v>
      </c>
      <c r="FJ51" s="8">
        <v>30.907354712486271</v>
      </c>
      <c r="FK51" s="8">
        <v>0</v>
      </c>
      <c r="FL51" s="8">
        <v>0</v>
      </c>
      <c r="FM51" s="8">
        <v>0</v>
      </c>
    </row>
    <row r="52" spans="25:174" x14ac:dyDescent="0.25">
      <c r="Y52">
        <v>2002</v>
      </c>
      <c r="Z52">
        <v>8</v>
      </c>
      <c r="AA52" s="8">
        <v>25060.71181114018</v>
      </c>
      <c r="AB52" s="8">
        <v>0</v>
      </c>
      <c r="AC52" s="8">
        <v>0</v>
      </c>
      <c r="AD52" s="11">
        <v>69.427600189252146</v>
      </c>
      <c r="CR52">
        <v>2002</v>
      </c>
      <c r="CS52">
        <v>8</v>
      </c>
      <c r="CT52" s="11">
        <v>1211.5094504356384</v>
      </c>
      <c r="CU52" s="11">
        <v>0</v>
      </c>
      <c r="CV52" s="11">
        <v>0</v>
      </c>
      <c r="CW52" s="8">
        <v>39.628877314925205</v>
      </c>
      <c r="CX52" s="8">
        <v>10.898443603515652</v>
      </c>
      <c r="CY52" s="8">
        <v>0</v>
      </c>
      <c r="FH52">
        <v>2002</v>
      </c>
      <c r="FI52" s="66">
        <v>9</v>
      </c>
      <c r="FJ52" s="8">
        <v>117.54635208100076</v>
      </c>
      <c r="FK52" s="8">
        <v>0</v>
      </c>
      <c r="FL52" s="8">
        <v>0</v>
      </c>
      <c r="FM52" s="8">
        <v>0</v>
      </c>
    </row>
    <row r="53" spans="25:174" x14ac:dyDescent="0.25">
      <c r="Y53">
        <v>2002</v>
      </c>
      <c r="Z53">
        <v>9</v>
      </c>
      <c r="AA53" s="8">
        <v>18049.923845145851</v>
      </c>
      <c r="AB53" s="8">
        <v>0</v>
      </c>
      <c r="AC53" s="8">
        <v>0</v>
      </c>
      <c r="AD53" s="11">
        <v>72.71850191056744</v>
      </c>
      <c r="CR53">
        <v>2002</v>
      </c>
      <c r="CS53">
        <v>9</v>
      </c>
      <c r="CT53" s="11">
        <v>1598.0076982975006</v>
      </c>
      <c r="CU53" s="11">
        <v>0</v>
      </c>
      <c r="CV53" s="11">
        <v>0</v>
      </c>
      <c r="CW53" s="8">
        <v>851.51208778619787</v>
      </c>
      <c r="CX53" s="8">
        <v>32.630559120234082</v>
      </c>
      <c r="CY53" s="8">
        <v>0</v>
      </c>
      <c r="FH53">
        <v>2002</v>
      </c>
      <c r="FI53" s="66">
        <v>10</v>
      </c>
      <c r="FJ53" s="8">
        <v>1486.8755222260947</v>
      </c>
      <c r="FK53" s="8">
        <v>0</v>
      </c>
      <c r="FL53" s="8">
        <v>0</v>
      </c>
      <c r="FM53" s="8">
        <v>238.99</v>
      </c>
    </row>
    <row r="54" spans="25:174" x14ac:dyDescent="0.25">
      <c r="Y54">
        <v>2002</v>
      </c>
      <c r="Z54">
        <v>10</v>
      </c>
      <c r="AA54" s="8">
        <v>6195.0800816118717</v>
      </c>
      <c r="AB54" s="8">
        <v>0</v>
      </c>
      <c r="AC54" s="8">
        <v>0</v>
      </c>
      <c r="AD54" s="11">
        <v>79.456101700663709</v>
      </c>
      <c r="AF54">
        <f>Y54</f>
        <v>2002</v>
      </c>
      <c r="AG54" s="8">
        <f>SUM(AA51:AA55)</f>
        <v>83401.702875934541</v>
      </c>
      <c r="AH54" s="8">
        <f>SUM(AB51:AB55)</f>
        <v>0</v>
      </c>
      <c r="AI54" s="8">
        <f>SUM(AC43:AC54)</f>
        <v>0</v>
      </c>
      <c r="AJ54" s="8">
        <f>AG54+AH54</f>
        <v>83401.702875934541</v>
      </c>
      <c r="CR54">
        <v>2002</v>
      </c>
      <c r="CS54">
        <v>10</v>
      </c>
      <c r="CT54" s="11">
        <v>398.61370992660562</v>
      </c>
      <c r="CU54" s="11">
        <v>0</v>
      </c>
      <c r="CV54" s="11">
        <v>0</v>
      </c>
      <c r="CW54" s="8">
        <v>329.83748911023162</v>
      </c>
      <c r="CX54" s="8">
        <v>0</v>
      </c>
      <c r="CY54" s="8">
        <v>0</v>
      </c>
      <c r="CZ54">
        <f>CR54</f>
        <v>2002</v>
      </c>
      <c r="DA54" s="8">
        <f>SUM(CT51:CT59)+SUM(CW51:CW59)</f>
        <v>11312.376089168156</v>
      </c>
      <c r="DB54" s="8">
        <f>SUM(CU44:CU55)+SUM(CX44:CX55)</f>
        <v>951.35083346665579</v>
      </c>
      <c r="DC54" s="8">
        <f>SUM(CV44:CV55)+SUM(CY44:CY55)</f>
        <v>0</v>
      </c>
      <c r="FH54">
        <v>2002</v>
      </c>
      <c r="FI54" s="66">
        <v>11</v>
      </c>
      <c r="FJ54" s="8">
        <v>2509.9201581478128</v>
      </c>
      <c r="FK54" s="8">
        <v>0</v>
      </c>
      <c r="FL54" s="8">
        <v>0</v>
      </c>
      <c r="FM54" s="8">
        <v>0</v>
      </c>
      <c r="FN54">
        <f>FH54</f>
        <v>2002</v>
      </c>
      <c r="FO54" s="8">
        <f>SUM(FJ50:FJ58)</f>
        <v>7829.8528224006304</v>
      </c>
      <c r="FP54" s="8">
        <f>SUM(FK42:FK53)</f>
        <v>3072.5928478240985</v>
      </c>
      <c r="FQ54" s="8">
        <f>SUM(FL42:FL53)</f>
        <v>0</v>
      </c>
      <c r="FR54" s="8">
        <f>SUM(FM42:FM53)</f>
        <v>4767.3107999999993</v>
      </c>
    </row>
    <row r="55" spans="25:174" x14ac:dyDescent="0.25">
      <c r="Y55">
        <v>2002</v>
      </c>
      <c r="Z55">
        <v>11</v>
      </c>
      <c r="AA55" s="8">
        <v>13236.731034398079</v>
      </c>
      <c r="AB55" s="8">
        <v>0</v>
      </c>
      <c r="AC55" s="8">
        <v>0</v>
      </c>
      <c r="AD55" s="11">
        <v>76.893001645803594</v>
      </c>
      <c r="AG55" s="8">
        <f>SUM(AA51:AA58)</f>
        <v>113176.38933115546</v>
      </c>
      <c r="AH55" s="8">
        <f>SUM(AB51:AB58)</f>
        <v>3537.427113533025</v>
      </c>
      <c r="AI55" s="8">
        <f>SUM(AC43:AC54)</f>
        <v>0</v>
      </c>
      <c r="CR55">
        <v>2002</v>
      </c>
      <c r="CS55">
        <v>11</v>
      </c>
      <c r="CT55" s="11">
        <v>838.66870975494351</v>
      </c>
      <c r="CU55" s="11">
        <v>0</v>
      </c>
      <c r="CV55" s="11">
        <v>0</v>
      </c>
      <c r="CW55" s="8">
        <v>501.87774360179912</v>
      </c>
      <c r="CX55" s="8">
        <v>0</v>
      </c>
      <c r="CY55" s="8">
        <v>0</v>
      </c>
      <c r="DA55" s="8">
        <f>SUM(CT51:CT58)</f>
        <v>7083.4437992572784</v>
      </c>
      <c r="DB55" s="8">
        <f>SUM(CU51:CU58)</f>
        <v>732.51438140869163</v>
      </c>
      <c r="DC55" s="8">
        <f>SUM(CV43:CV54)</f>
        <v>0</v>
      </c>
      <c r="FH55">
        <v>2002</v>
      </c>
      <c r="FI55" s="66">
        <v>12</v>
      </c>
      <c r="FJ55" s="8">
        <v>1626.3532770425088</v>
      </c>
      <c r="FK55" s="8">
        <v>0</v>
      </c>
      <c r="FL55" s="8">
        <v>0</v>
      </c>
      <c r="FM55" s="8">
        <v>41.680999999999997</v>
      </c>
    </row>
    <row r="56" spans="25:174" x14ac:dyDescent="0.25">
      <c r="Y56">
        <v>2002</v>
      </c>
      <c r="Z56">
        <v>12</v>
      </c>
      <c r="AA56" s="8">
        <v>26789.740093708046</v>
      </c>
      <c r="AB56" s="8">
        <v>0</v>
      </c>
      <c r="AC56" s="8">
        <v>0</v>
      </c>
      <c r="AD56" s="11">
        <v>78.127851746976518</v>
      </c>
      <c r="CR56">
        <v>2002</v>
      </c>
      <c r="CS56">
        <v>12</v>
      </c>
      <c r="CT56" s="11">
        <v>819.88768577575695</v>
      </c>
      <c r="CU56" s="11">
        <v>282.87219238281239</v>
      </c>
      <c r="CV56" s="11">
        <v>0</v>
      </c>
      <c r="CW56" s="8">
        <v>762.91808048486712</v>
      </c>
      <c r="CX56" s="8">
        <v>15.438688504695907</v>
      </c>
      <c r="CY56" s="8">
        <v>0</v>
      </c>
      <c r="FH56">
        <v>2003</v>
      </c>
      <c r="FI56" s="66">
        <v>1</v>
      </c>
      <c r="FJ56" s="8">
        <v>1558.080943107605</v>
      </c>
      <c r="FK56" s="8">
        <v>0</v>
      </c>
      <c r="FL56" s="8">
        <v>0</v>
      </c>
      <c r="FM56" s="8">
        <v>5.27</v>
      </c>
    </row>
    <row r="57" spans="25:174" x14ac:dyDescent="0.25">
      <c r="Y57">
        <v>2003</v>
      </c>
      <c r="Z57">
        <v>1</v>
      </c>
      <c r="AA57" s="8">
        <v>2984.9463615128757</v>
      </c>
      <c r="AB57" s="8">
        <v>0</v>
      </c>
      <c r="AC57" s="8">
        <v>0</v>
      </c>
      <c r="AD57" s="11">
        <v>79.456101700663709</v>
      </c>
      <c r="CR57">
        <v>2003</v>
      </c>
      <c r="CS57">
        <v>1</v>
      </c>
      <c r="CT57" s="11">
        <v>794.68659782409668</v>
      </c>
      <c r="CU57" s="11">
        <v>0</v>
      </c>
      <c r="CV57" s="11">
        <v>0</v>
      </c>
      <c r="CW57" s="8">
        <v>1202.7669132519516</v>
      </c>
      <c r="CX57" s="8">
        <v>0</v>
      </c>
      <c r="CY57" s="8">
        <v>0</v>
      </c>
      <c r="FH57">
        <v>2003</v>
      </c>
      <c r="FI57" s="66">
        <v>2</v>
      </c>
      <c r="FJ57" s="8">
        <v>15.09981369972229</v>
      </c>
      <c r="FK57" s="8">
        <v>976</v>
      </c>
      <c r="FL57" s="8">
        <v>0</v>
      </c>
      <c r="FM57" s="8">
        <v>0</v>
      </c>
    </row>
    <row r="58" spans="25:174" x14ac:dyDescent="0.25">
      <c r="Y58">
        <v>2003</v>
      </c>
      <c r="Z58">
        <v>2</v>
      </c>
      <c r="AA58" s="8">
        <v>0</v>
      </c>
      <c r="AB58" s="8">
        <v>3537.427113533025</v>
      </c>
      <c r="AC58" s="8">
        <v>0</v>
      </c>
      <c r="AD58" s="11">
        <v>71.766801536083364</v>
      </c>
      <c r="CR58">
        <v>2003</v>
      </c>
      <c r="CS58">
        <v>2</v>
      </c>
      <c r="CT58" s="11">
        <v>2.7932989597320601</v>
      </c>
      <c r="CU58" s="11">
        <v>449.6421890258793</v>
      </c>
      <c r="CV58" s="11">
        <v>0</v>
      </c>
      <c r="CW58" s="8">
        <v>364.01855221334853</v>
      </c>
      <c r="CX58" s="8">
        <v>1730.732782534511</v>
      </c>
      <c r="CY58" s="8">
        <v>0</v>
      </c>
      <c r="FH58">
        <v>2003</v>
      </c>
      <c r="FI58" s="66">
        <v>3</v>
      </c>
      <c r="FJ58" s="8">
        <v>456.92416238784767</v>
      </c>
      <c r="FK58" s="8">
        <v>322.60947036743141</v>
      </c>
      <c r="FL58" s="8">
        <v>0</v>
      </c>
      <c r="FM58" s="8">
        <v>5960.6</v>
      </c>
    </row>
    <row r="59" spans="25:174" x14ac:dyDescent="0.25">
      <c r="Y59">
        <v>2003</v>
      </c>
      <c r="Z59">
        <v>3</v>
      </c>
      <c r="AA59" s="8">
        <v>1482.7045405513368</v>
      </c>
      <c r="AB59" s="8">
        <v>1351.9079473018651</v>
      </c>
      <c r="AC59" s="8">
        <v>0</v>
      </c>
      <c r="AD59" s="11">
        <v>79.456101700663709</v>
      </c>
      <c r="CR59">
        <v>2003</v>
      </c>
      <c r="CS59">
        <v>3</v>
      </c>
      <c r="CT59" s="11">
        <v>110.89990282058709</v>
      </c>
      <c r="CU59" s="11">
        <v>154.39205169677751</v>
      </c>
      <c r="CV59" s="11">
        <v>0</v>
      </c>
      <c r="CW59" s="8">
        <v>19.55769739672543</v>
      </c>
      <c r="CX59" s="8">
        <v>866.77467638939254</v>
      </c>
      <c r="CY59" s="8">
        <v>176.6322021484375</v>
      </c>
      <c r="FH59">
        <v>2003</v>
      </c>
      <c r="FI59" s="66">
        <v>4</v>
      </c>
      <c r="FJ59" s="8">
        <v>309.72591114044189</v>
      </c>
      <c r="FK59" s="8">
        <v>0</v>
      </c>
      <c r="FL59" s="8">
        <v>0</v>
      </c>
      <c r="FM59" s="8">
        <v>226.92</v>
      </c>
    </row>
    <row r="60" spans="25:174" x14ac:dyDescent="0.25">
      <c r="Y60">
        <v>2003</v>
      </c>
      <c r="Z60">
        <v>4</v>
      </c>
      <c r="AA60" s="8">
        <v>751.54598465375625</v>
      </c>
      <c r="AB60" s="8">
        <v>715.70505237579312</v>
      </c>
      <c r="AC60" s="8">
        <v>0</v>
      </c>
      <c r="AD60" s="11">
        <v>76.893001645803594</v>
      </c>
      <c r="CR60">
        <v>2003</v>
      </c>
      <c r="CS60">
        <v>4</v>
      </c>
      <c r="CT60" s="11">
        <v>0</v>
      </c>
      <c r="CU60" s="11">
        <v>0</v>
      </c>
      <c r="CV60" s="11">
        <v>0</v>
      </c>
      <c r="CW60" s="8">
        <v>1.1633528575301184</v>
      </c>
      <c r="CX60" s="8">
        <v>48.171590692934089</v>
      </c>
      <c r="CY60" s="8">
        <v>0</v>
      </c>
      <c r="FH60">
        <v>2003</v>
      </c>
      <c r="FI60" s="66">
        <v>5</v>
      </c>
      <c r="FJ60" s="8">
        <v>10.892319142818453</v>
      </c>
      <c r="FK60" s="8">
        <v>0</v>
      </c>
      <c r="FL60" s="8">
        <v>0</v>
      </c>
      <c r="FM60" s="8">
        <v>25.692</v>
      </c>
    </row>
    <row r="61" spans="25:174" x14ac:dyDescent="0.25">
      <c r="Y61">
        <v>2003</v>
      </c>
      <c r="Z61">
        <v>5</v>
      </c>
      <c r="AA61" s="8">
        <v>540.04191263020039</v>
      </c>
      <c r="AB61" s="8">
        <v>0</v>
      </c>
      <c r="AC61" s="8">
        <v>0</v>
      </c>
      <c r="AD61" s="11">
        <v>79.456101700663709</v>
      </c>
      <c r="CR61">
        <v>2003</v>
      </c>
      <c r="CS61">
        <v>5</v>
      </c>
      <c r="CT61" s="11">
        <v>0</v>
      </c>
      <c r="CU61" s="11">
        <v>0</v>
      </c>
      <c r="CV61" s="11">
        <v>0</v>
      </c>
      <c r="CW61" s="8">
        <v>11.172634452581411</v>
      </c>
      <c r="CX61" s="8">
        <v>48.534484465327075</v>
      </c>
      <c r="CY61" s="8">
        <v>0</v>
      </c>
      <c r="FH61">
        <v>2003</v>
      </c>
      <c r="FI61" s="66">
        <v>6</v>
      </c>
      <c r="FJ61" s="8">
        <v>16.933768063783642</v>
      </c>
      <c r="FK61" s="8">
        <v>0</v>
      </c>
      <c r="FL61" s="8">
        <v>0</v>
      </c>
      <c r="FM61" s="8">
        <v>0</v>
      </c>
    </row>
    <row r="62" spans="25:174" x14ac:dyDescent="0.25">
      <c r="Y62">
        <v>2003</v>
      </c>
      <c r="Z62">
        <v>6</v>
      </c>
      <c r="AA62" s="8">
        <v>185.2425666267518</v>
      </c>
      <c r="AB62" s="8">
        <v>0</v>
      </c>
      <c r="AC62" s="8">
        <v>0</v>
      </c>
      <c r="AD62" s="11">
        <v>76.893001645803594</v>
      </c>
      <c r="CR62">
        <v>2003</v>
      </c>
      <c r="CS62">
        <v>6</v>
      </c>
      <c r="CT62" s="11">
        <v>46.415926933288574</v>
      </c>
      <c r="CU62" s="11">
        <v>0</v>
      </c>
      <c r="CV62" s="11">
        <v>0</v>
      </c>
      <c r="CW62" s="8">
        <v>35.706202904880044</v>
      </c>
      <c r="CX62" s="8">
        <v>0</v>
      </c>
      <c r="CY62" s="8">
        <v>0</v>
      </c>
      <c r="FH62">
        <v>2003</v>
      </c>
      <c r="FI62" s="66">
        <v>7</v>
      </c>
      <c r="FJ62" s="8">
        <v>22.754255414009091</v>
      </c>
      <c r="FK62" s="8">
        <v>0</v>
      </c>
      <c r="FL62" s="8">
        <v>0</v>
      </c>
      <c r="FM62" s="8">
        <v>0</v>
      </c>
    </row>
    <row r="63" spans="25:174" x14ac:dyDescent="0.25">
      <c r="Y63">
        <v>2003</v>
      </c>
      <c r="Z63">
        <v>7</v>
      </c>
      <c r="AA63" s="8">
        <v>1813.4235222749398</v>
      </c>
      <c r="AB63" s="8">
        <v>0</v>
      </c>
      <c r="AC63" s="8">
        <v>0</v>
      </c>
      <c r="AD63" s="11">
        <v>79.456101700663709</v>
      </c>
      <c r="CR63">
        <v>2003</v>
      </c>
      <c r="CS63">
        <v>7</v>
      </c>
      <c r="CT63" s="11">
        <v>92.517540454864488</v>
      </c>
      <c r="CU63" s="11">
        <v>35.599571228027301</v>
      </c>
      <c r="CV63" s="11">
        <v>0</v>
      </c>
      <c r="CW63" s="8">
        <v>49.38318611178547</v>
      </c>
      <c r="CX63" s="8">
        <v>0</v>
      </c>
      <c r="CY63" s="8">
        <v>0</v>
      </c>
      <c r="FH63">
        <v>2003</v>
      </c>
      <c r="FI63" s="66">
        <v>8</v>
      </c>
      <c r="FJ63" s="8">
        <v>22.274441689252868</v>
      </c>
      <c r="FK63" s="8">
        <v>0</v>
      </c>
      <c r="FL63" s="8">
        <v>0</v>
      </c>
      <c r="FM63" s="8">
        <v>0</v>
      </c>
    </row>
    <row r="64" spans="25:174" x14ac:dyDescent="0.25">
      <c r="Y64">
        <v>2003</v>
      </c>
      <c r="Z64">
        <v>8</v>
      </c>
      <c r="AA64" s="8">
        <v>660.79551877826418</v>
      </c>
      <c r="AB64" s="8">
        <v>0</v>
      </c>
      <c r="AC64" s="8">
        <v>0</v>
      </c>
      <c r="AD64" s="11">
        <v>79.456101700663709</v>
      </c>
      <c r="CR64">
        <v>2003</v>
      </c>
      <c r="CS64">
        <v>8</v>
      </c>
      <c r="CT64" s="11">
        <v>41.430798590183286</v>
      </c>
      <c r="CU64" s="11">
        <v>279.22351455688482</v>
      </c>
      <c r="CV64" s="11">
        <v>0</v>
      </c>
      <c r="CW64" s="8">
        <v>50.380202296376233</v>
      </c>
      <c r="CX64" s="8">
        <v>68.444258281681712</v>
      </c>
      <c r="CY64" s="8">
        <v>0</v>
      </c>
      <c r="FH64">
        <v>2003</v>
      </c>
      <c r="FI64" s="66">
        <v>9</v>
      </c>
      <c r="FJ64" s="8">
        <v>127.86830610036857</v>
      </c>
      <c r="FK64" s="8">
        <v>0</v>
      </c>
      <c r="FL64" s="8">
        <v>0</v>
      </c>
      <c r="FM64" s="8">
        <v>56.146999999999998</v>
      </c>
    </row>
    <row r="65" spans="25:174" x14ac:dyDescent="0.25">
      <c r="Y65">
        <v>2003</v>
      </c>
      <c r="Z65">
        <v>9</v>
      </c>
      <c r="AA65" s="8">
        <v>4441.4041598699969</v>
      </c>
      <c r="AB65" s="8">
        <v>0</v>
      </c>
      <c r="AC65" s="8">
        <v>0</v>
      </c>
      <c r="AD65" s="11">
        <v>76.893001645803594</v>
      </c>
      <c r="CR65">
        <v>2003</v>
      </c>
      <c r="CS65">
        <v>9</v>
      </c>
      <c r="CT65" s="11">
        <v>320.1640543937682</v>
      </c>
      <c r="CU65" s="11">
        <v>61.956926345825195</v>
      </c>
      <c r="CV65" s="11">
        <v>0</v>
      </c>
      <c r="CW65" s="8">
        <v>228.48911989629261</v>
      </c>
      <c r="CX65" s="8">
        <v>1.2340389728546131</v>
      </c>
      <c r="CY65" s="8">
        <v>0</v>
      </c>
      <c r="FH65">
        <v>2003</v>
      </c>
      <c r="FI65" s="66">
        <v>10</v>
      </c>
      <c r="FJ65" s="8">
        <v>308.99673366546625</v>
      </c>
      <c r="FK65" s="8">
        <v>0</v>
      </c>
      <c r="FL65" s="8">
        <v>0</v>
      </c>
      <c r="FM65" s="8">
        <v>137.69999999999999</v>
      </c>
    </row>
    <row r="66" spans="25:174" x14ac:dyDescent="0.25">
      <c r="Y66">
        <v>2003</v>
      </c>
      <c r="Z66">
        <v>10</v>
      </c>
      <c r="AA66" s="8">
        <v>449.65426550805574</v>
      </c>
      <c r="AB66" s="8">
        <v>0</v>
      </c>
      <c r="AC66" s="8">
        <v>0</v>
      </c>
      <c r="AD66" s="11">
        <v>79.456101700663709</v>
      </c>
      <c r="AF66">
        <f>Y66</f>
        <v>2003</v>
      </c>
      <c r="AG66" s="8">
        <f>SUM(AA63:AA67)</f>
        <v>8865.3892470356041</v>
      </c>
      <c r="AH66" s="8">
        <f>SUM(AB63:AB67)</f>
        <v>0</v>
      </c>
      <c r="AI66" s="8">
        <f>SUM(AC55:AC66)</f>
        <v>0</v>
      </c>
      <c r="AJ66" s="8">
        <f>AG66+AH66</f>
        <v>8865.3892470356041</v>
      </c>
      <c r="CR66">
        <v>2003</v>
      </c>
      <c r="CS66">
        <v>10</v>
      </c>
      <c r="CT66" s="11">
        <v>0</v>
      </c>
      <c r="CU66" s="11">
        <v>0</v>
      </c>
      <c r="CV66" s="11">
        <v>0</v>
      </c>
      <c r="CW66" s="8">
        <v>30.036511057987816</v>
      </c>
      <c r="CX66" s="8">
        <v>171.77742012771776</v>
      </c>
      <c r="CY66" s="8">
        <v>0</v>
      </c>
      <c r="CZ66">
        <f>CR66</f>
        <v>2003</v>
      </c>
      <c r="DA66" s="8">
        <f>SUM(CT63:CT71)+SUM(CW63:CW71)</f>
        <v>2167.1187996124845</v>
      </c>
      <c r="DB66" s="8">
        <f>SUM(CU56:CU67)+SUM(CX56:CX67)</f>
        <v>4214.7943852053213</v>
      </c>
      <c r="DC66" s="8">
        <f>SUM(CV56:CV67)+SUM(CY56:CY67)</f>
        <v>176.6322021484375</v>
      </c>
      <c r="FH66">
        <v>2003</v>
      </c>
      <c r="FI66" s="66">
        <v>11</v>
      </c>
      <c r="FJ66" s="8">
        <v>586.99017286300659</v>
      </c>
      <c r="FK66" s="8">
        <v>0</v>
      </c>
      <c r="FL66" s="8">
        <v>0</v>
      </c>
      <c r="FM66" s="8">
        <v>0</v>
      </c>
      <c r="FN66">
        <f>FH66</f>
        <v>2003</v>
      </c>
      <c r="FO66" s="8">
        <f>SUM(FJ62:FJ70)</f>
        <v>2140.3415148556228</v>
      </c>
      <c r="FP66" s="8">
        <f>SUM(FK54:FK65)</f>
        <v>1298.6094703674314</v>
      </c>
      <c r="FQ66" s="8">
        <f>SUM(FL54:FL65)</f>
        <v>0</v>
      </c>
      <c r="FR66" s="8">
        <f>SUM(FM54:FM65)</f>
        <v>6454.01</v>
      </c>
    </row>
    <row r="67" spans="25:174" x14ac:dyDescent="0.25">
      <c r="Y67">
        <v>2003</v>
      </c>
      <c r="Z67">
        <v>11</v>
      </c>
      <c r="AA67" s="8">
        <v>1500.111780604348</v>
      </c>
      <c r="AB67" s="8">
        <v>0</v>
      </c>
      <c r="AC67" s="8">
        <v>0</v>
      </c>
      <c r="AD67" s="11">
        <v>76.893001645803594</v>
      </c>
      <c r="AG67" s="8">
        <f>SUM(AA63:AA70)</f>
        <v>31991.559246170338</v>
      </c>
      <c r="AH67" s="8">
        <f>SUM(AB63:AB70)</f>
        <v>22458.43051341176</v>
      </c>
      <c r="AI67" s="8">
        <f>SUM(AC55:AC66)</f>
        <v>0</v>
      </c>
      <c r="CR67">
        <v>2003</v>
      </c>
      <c r="CS67">
        <v>11</v>
      </c>
      <c r="CT67" s="11">
        <v>0</v>
      </c>
      <c r="CU67" s="11">
        <v>0</v>
      </c>
      <c r="CV67" s="11">
        <v>0</v>
      </c>
      <c r="CW67" s="8">
        <v>282.73042385280138</v>
      </c>
      <c r="CX67" s="8">
        <v>0</v>
      </c>
      <c r="CY67" s="8">
        <v>0</v>
      </c>
      <c r="DA67" s="8">
        <f>SUM(CT63:CT70)</f>
        <v>500.5695125460623</v>
      </c>
      <c r="DB67" s="8">
        <f>SUM(CU63:CU70)</f>
        <v>1229.9847812652588</v>
      </c>
      <c r="DC67" s="8">
        <f>SUM(CV55:CV66)</f>
        <v>0</v>
      </c>
      <c r="FH67">
        <v>2003</v>
      </c>
      <c r="FI67" s="66">
        <v>12</v>
      </c>
      <c r="FJ67" s="8">
        <v>378.66991209983837</v>
      </c>
      <c r="FK67" s="8">
        <v>0</v>
      </c>
      <c r="FL67" s="8">
        <v>0</v>
      </c>
      <c r="FM67" s="8">
        <v>4911.8</v>
      </c>
    </row>
    <row r="68" spans="25:174" x14ac:dyDescent="0.25">
      <c r="Y68">
        <v>2003</v>
      </c>
      <c r="Z68">
        <v>12</v>
      </c>
      <c r="AA68" s="8">
        <v>1258.8100997209547</v>
      </c>
      <c r="AB68" s="8">
        <v>0</v>
      </c>
      <c r="AC68" s="8">
        <v>0</v>
      </c>
      <c r="AD68" s="11">
        <v>79.456101700663709</v>
      </c>
      <c r="CR68">
        <v>2003</v>
      </c>
      <c r="CS68">
        <v>12</v>
      </c>
      <c r="CT68" s="11">
        <v>46.457119107246356</v>
      </c>
      <c r="CU68" s="11">
        <v>137.63801193237299</v>
      </c>
      <c r="CV68" s="11">
        <v>0</v>
      </c>
      <c r="CW68" s="8">
        <v>493.58739458769571</v>
      </c>
      <c r="CX68" s="8">
        <v>75.306410810328089</v>
      </c>
      <c r="CY68" s="8">
        <v>0</v>
      </c>
      <c r="FH68">
        <v>2004</v>
      </c>
      <c r="FI68" s="66">
        <v>1</v>
      </c>
      <c r="FJ68" s="8">
        <v>647.59916687011673</v>
      </c>
      <c r="FK68" s="8">
        <v>7879.2593841552734</v>
      </c>
      <c r="FL68" s="8">
        <v>7416.63183593751</v>
      </c>
      <c r="FM68" s="8">
        <v>3248.3</v>
      </c>
    </row>
    <row r="69" spans="25:174" x14ac:dyDescent="0.25">
      <c r="Y69">
        <v>2004</v>
      </c>
      <c r="Z69">
        <v>1</v>
      </c>
      <c r="AA69" s="8">
        <v>1494.1093411147601</v>
      </c>
      <c r="AB69" s="8">
        <v>17290.050153762102</v>
      </c>
      <c r="AC69" s="8">
        <v>14222.740722656255</v>
      </c>
      <c r="AD69" s="11">
        <v>79.456101700663709</v>
      </c>
      <c r="CR69">
        <v>2004</v>
      </c>
      <c r="CS69">
        <v>1</v>
      </c>
      <c r="CT69" s="11">
        <v>0</v>
      </c>
      <c r="CU69" s="11">
        <v>492.96026611328125</v>
      </c>
      <c r="CV69" s="11">
        <v>1388.068115234375</v>
      </c>
      <c r="CW69" s="8">
        <v>459.10850214958191</v>
      </c>
      <c r="CX69" s="8">
        <v>1847.345036444533</v>
      </c>
      <c r="CY69" s="8">
        <v>1821.7029296875</v>
      </c>
      <c r="FH69">
        <v>2004</v>
      </c>
      <c r="FI69" s="66">
        <v>2</v>
      </c>
      <c r="FJ69" s="8">
        <v>45.188526153564503</v>
      </c>
      <c r="FK69" s="8">
        <v>1381.008865356446</v>
      </c>
      <c r="FL69" s="8">
        <v>0</v>
      </c>
      <c r="FM69" s="8">
        <v>4509.2</v>
      </c>
    </row>
    <row r="70" spans="25:174" x14ac:dyDescent="0.25">
      <c r="Y70">
        <v>2004</v>
      </c>
      <c r="Z70">
        <v>2</v>
      </c>
      <c r="AA70" s="8">
        <v>20373.25055829902</v>
      </c>
      <c r="AB70" s="8">
        <v>5168.3803596496564</v>
      </c>
      <c r="AC70" s="8">
        <v>0</v>
      </c>
      <c r="AD70" s="11">
        <v>74.329901590943479</v>
      </c>
      <c r="CR70">
        <v>2004</v>
      </c>
      <c r="CS70">
        <v>2</v>
      </c>
      <c r="CT70" s="11">
        <v>0</v>
      </c>
      <c r="CU70" s="11">
        <v>222.6064910888673</v>
      </c>
      <c r="CV70" s="11">
        <v>0</v>
      </c>
      <c r="CW70" s="8">
        <v>19.828218341618776</v>
      </c>
      <c r="CX70" s="8">
        <v>1.9058165880502203</v>
      </c>
      <c r="CY70" s="8">
        <v>0</v>
      </c>
      <c r="FH70">
        <v>2004</v>
      </c>
      <c r="FI70" s="66">
        <v>3</v>
      </c>
      <c r="FJ70" s="8">
        <v>0</v>
      </c>
      <c r="FK70" s="8">
        <v>1171.11328125</v>
      </c>
      <c r="FL70" s="8">
        <v>0</v>
      </c>
      <c r="FM70" s="8">
        <v>713.92</v>
      </c>
    </row>
    <row r="71" spans="25:174" x14ac:dyDescent="0.25">
      <c r="Y71">
        <v>2004</v>
      </c>
      <c r="Z71">
        <v>3</v>
      </c>
      <c r="AA71" s="8">
        <v>2428.0646119117737</v>
      </c>
      <c r="AB71" s="8">
        <v>1632.8774881362913</v>
      </c>
      <c r="AC71" s="8">
        <v>0</v>
      </c>
      <c r="AD71" s="11">
        <v>79.456101700663709</v>
      </c>
      <c r="CR71">
        <v>2004</v>
      </c>
      <c r="CS71">
        <v>3</v>
      </c>
      <c r="CT71" s="11">
        <v>47.304646968841581</v>
      </c>
      <c r="CU71" s="11">
        <v>0</v>
      </c>
      <c r="CV71" s="11">
        <v>0</v>
      </c>
      <c r="CW71" s="8">
        <v>5.7010818034410491</v>
      </c>
      <c r="CX71" s="8">
        <v>0</v>
      </c>
      <c r="CY71" s="8">
        <v>0</v>
      </c>
      <c r="FH71">
        <v>2004</v>
      </c>
      <c r="FI71" s="66">
        <v>4</v>
      </c>
      <c r="FJ71" s="8">
        <v>0</v>
      </c>
      <c r="FK71" s="8">
        <v>0</v>
      </c>
      <c r="FL71" s="8">
        <v>0</v>
      </c>
      <c r="FM71" s="8">
        <v>25.352</v>
      </c>
    </row>
    <row r="72" spans="25:174" x14ac:dyDescent="0.25">
      <c r="Y72">
        <v>2004</v>
      </c>
      <c r="Z72">
        <v>4</v>
      </c>
      <c r="AA72" s="8">
        <v>1205.1964629292493</v>
      </c>
      <c r="AB72" s="8">
        <v>0</v>
      </c>
      <c r="AC72" s="8">
        <v>0</v>
      </c>
      <c r="AD72" s="11">
        <v>76.893001645803594</v>
      </c>
      <c r="CR72">
        <v>2004</v>
      </c>
      <c r="CS72">
        <v>4</v>
      </c>
      <c r="CT72" s="11">
        <v>57.526609420776374</v>
      </c>
      <c r="CU72" s="11">
        <v>0</v>
      </c>
      <c r="CV72" s="11">
        <v>0</v>
      </c>
      <c r="CW72" s="8">
        <v>1.6144830912351609</v>
      </c>
      <c r="CX72" s="8">
        <v>0</v>
      </c>
      <c r="CY72" s="8">
        <v>0</v>
      </c>
      <c r="FH72">
        <v>2004</v>
      </c>
      <c r="FI72" s="66">
        <v>5</v>
      </c>
      <c r="FJ72" s="8">
        <v>0</v>
      </c>
      <c r="FK72" s="8">
        <v>0</v>
      </c>
      <c r="FL72" s="8">
        <v>0</v>
      </c>
      <c r="FM72" s="8">
        <v>0</v>
      </c>
    </row>
    <row r="73" spans="25:174" x14ac:dyDescent="0.25">
      <c r="Y73">
        <v>2004</v>
      </c>
      <c r="Z73">
        <v>5</v>
      </c>
      <c r="AA73" s="8">
        <v>452.88225173950178</v>
      </c>
      <c r="AB73" s="8">
        <v>0</v>
      </c>
      <c r="AC73" s="8">
        <v>0</v>
      </c>
      <c r="AD73" s="11">
        <v>79.456101700663709</v>
      </c>
      <c r="CR73">
        <v>2004</v>
      </c>
      <c r="CS73">
        <v>5</v>
      </c>
      <c r="CT73" s="11">
        <v>0.67252618074417103</v>
      </c>
      <c r="CU73" s="11">
        <v>0</v>
      </c>
      <c r="CV73" s="11">
        <v>0</v>
      </c>
      <c r="CW73" s="8">
        <v>1.9164104998111751</v>
      </c>
      <c r="CX73" s="8">
        <v>0</v>
      </c>
      <c r="CY73" s="8">
        <v>0</v>
      </c>
      <c r="FH73">
        <v>2004</v>
      </c>
      <c r="FI73" s="66">
        <v>6</v>
      </c>
      <c r="FJ73" s="8">
        <v>0</v>
      </c>
      <c r="FK73" s="8">
        <v>0</v>
      </c>
      <c r="FL73" s="8">
        <v>0</v>
      </c>
      <c r="FM73" s="8">
        <v>0</v>
      </c>
    </row>
    <row r="74" spans="25:174" x14ac:dyDescent="0.25">
      <c r="Y74">
        <v>2004</v>
      </c>
      <c r="Z74">
        <v>6</v>
      </c>
      <c r="AA74" s="8">
        <v>2012.5868563652036</v>
      </c>
      <c r="AB74" s="8">
        <v>0</v>
      </c>
      <c r="AC74" s="8">
        <v>0</v>
      </c>
      <c r="AD74" s="11">
        <v>76.893001645803594</v>
      </c>
      <c r="CR74">
        <v>2004</v>
      </c>
      <c r="CS74">
        <v>6</v>
      </c>
      <c r="CT74" s="11">
        <v>337.20189338922501</v>
      </c>
      <c r="CU74" s="11">
        <v>0</v>
      </c>
      <c r="CV74" s="11">
        <v>0</v>
      </c>
      <c r="CW74" s="8">
        <v>7.671882584691045</v>
      </c>
      <c r="CX74" s="8">
        <v>0</v>
      </c>
      <c r="CY74" s="8">
        <v>0</v>
      </c>
      <c r="FH74">
        <v>2004</v>
      </c>
      <c r="FI74" s="66">
        <v>7</v>
      </c>
      <c r="FJ74" s="8">
        <v>0</v>
      </c>
      <c r="FK74" s="8">
        <v>0</v>
      </c>
      <c r="FL74" s="8">
        <v>0</v>
      </c>
      <c r="FM74" s="8">
        <v>0</v>
      </c>
    </row>
    <row r="75" spans="25:174" x14ac:dyDescent="0.25">
      <c r="Y75">
        <v>2004</v>
      </c>
      <c r="Z75">
        <v>7</v>
      </c>
      <c r="AA75" s="8">
        <v>4260.2342602014551</v>
      </c>
      <c r="AB75" s="8">
        <v>0</v>
      </c>
      <c r="AC75" s="8">
        <v>0</v>
      </c>
      <c r="AD75" s="11">
        <v>79.456101700663709</v>
      </c>
      <c r="CR75">
        <v>2004</v>
      </c>
      <c r="CS75">
        <v>7</v>
      </c>
      <c r="CT75" s="11">
        <v>673.23978304862965</v>
      </c>
      <c r="CU75" s="11">
        <v>0</v>
      </c>
      <c r="CV75" s="11">
        <v>0</v>
      </c>
      <c r="CW75" s="8">
        <v>38.098579853773138</v>
      </c>
      <c r="CX75" s="8">
        <v>0</v>
      </c>
      <c r="CY75" s="8">
        <v>0</v>
      </c>
      <c r="FH75">
        <v>2004</v>
      </c>
      <c r="FI75" s="66">
        <v>8</v>
      </c>
      <c r="FJ75" s="8">
        <v>0</v>
      </c>
      <c r="FK75" s="8">
        <v>0</v>
      </c>
      <c r="FL75" s="8">
        <v>0</v>
      </c>
      <c r="FM75" s="8">
        <v>0</v>
      </c>
    </row>
    <row r="76" spans="25:174" x14ac:dyDescent="0.25">
      <c r="Y76">
        <v>2004</v>
      </c>
      <c r="Z76">
        <v>8</v>
      </c>
      <c r="AA76" s="8">
        <v>5601.4365254528821</v>
      </c>
      <c r="AB76" s="8">
        <v>0</v>
      </c>
      <c r="AC76" s="8">
        <v>0</v>
      </c>
      <c r="AD76" s="11">
        <v>79.456101700663709</v>
      </c>
      <c r="CR76">
        <v>2004</v>
      </c>
      <c r="CS76">
        <v>8</v>
      </c>
      <c r="CT76" s="11">
        <v>713.19047427177429</v>
      </c>
      <c r="CU76" s="11">
        <v>0</v>
      </c>
      <c r="CV76" s="11">
        <v>0</v>
      </c>
      <c r="CW76" s="8">
        <v>50.848588615655906</v>
      </c>
      <c r="CX76" s="8">
        <v>3.9882659912109401E-3</v>
      </c>
      <c r="CY76" s="8">
        <v>0</v>
      </c>
      <c r="FH76">
        <v>2004</v>
      </c>
      <c r="FI76" s="66">
        <v>9</v>
      </c>
      <c r="FJ76" s="8">
        <v>0</v>
      </c>
      <c r="FK76" s="8">
        <v>0</v>
      </c>
      <c r="FL76" s="8">
        <v>0</v>
      </c>
      <c r="FM76" s="8">
        <v>292</v>
      </c>
    </row>
    <row r="77" spans="25:174" x14ac:dyDescent="0.25">
      <c r="Y77">
        <v>2004</v>
      </c>
      <c r="Z77">
        <v>9</v>
      </c>
      <c r="AA77" s="8">
        <v>3541.3773061037073</v>
      </c>
      <c r="AB77" s="8">
        <v>0</v>
      </c>
      <c r="AC77" s="8">
        <v>0</v>
      </c>
      <c r="AD77" s="11">
        <v>76.893001645803594</v>
      </c>
      <c r="CR77">
        <v>2004</v>
      </c>
      <c r="CS77">
        <v>9</v>
      </c>
      <c r="CT77" s="11">
        <v>465.09056818485271</v>
      </c>
      <c r="CU77" s="11">
        <v>0</v>
      </c>
      <c r="CV77" s="11">
        <v>0</v>
      </c>
      <c r="CW77" s="8">
        <v>58.753248783200981</v>
      </c>
      <c r="CX77" s="8">
        <v>213.53174850316714</v>
      </c>
      <c r="CY77" s="8">
        <v>0</v>
      </c>
      <c r="FH77">
        <v>2004</v>
      </c>
      <c r="FI77" s="66">
        <v>10</v>
      </c>
      <c r="FJ77" s="8">
        <v>621.58445435762405</v>
      </c>
      <c r="FK77" s="8">
        <v>0</v>
      </c>
      <c r="FL77" s="8">
        <v>0</v>
      </c>
      <c r="FM77" s="8">
        <v>319.33</v>
      </c>
    </row>
    <row r="78" spans="25:174" x14ac:dyDescent="0.25">
      <c r="Y78">
        <v>2004</v>
      </c>
      <c r="Z78">
        <v>10</v>
      </c>
      <c r="AA78" s="8">
        <v>0</v>
      </c>
      <c r="AB78" s="8">
        <v>0</v>
      </c>
      <c r="AC78" s="8">
        <v>0</v>
      </c>
      <c r="AD78" s="11">
        <v>79.456101700663709</v>
      </c>
      <c r="AF78">
        <f>Y78</f>
        <v>2004</v>
      </c>
      <c r="AG78" s="8">
        <f>SUM(AA75:AA79)</f>
        <v>13685.329389441758</v>
      </c>
      <c r="AH78" s="8">
        <f>SUM(AB75:AB79)</f>
        <v>42.506691098213224</v>
      </c>
      <c r="AI78" s="8">
        <f>SUM(AC67:AC78)</f>
        <v>14222.740722656255</v>
      </c>
      <c r="AJ78" s="8">
        <f>AG78+AH78</f>
        <v>13727.836080539972</v>
      </c>
      <c r="CR78">
        <v>2004</v>
      </c>
      <c r="CS78">
        <v>10</v>
      </c>
      <c r="CT78" s="11">
        <v>7.6725652217864919</v>
      </c>
      <c r="CU78" s="11">
        <v>0</v>
      </c>
      <c r="CV78" s="11">
        <v>0</v>
      </c>
      <c r="CW78" s="8">
        <v>9.0227702081203471</v>
      </c>
      <c r="CX78" s="8">
        <v>10.413368809223172</v>
      </c>
      <c r="CY78" s="8">
        <v>0</v>
      </c>
      <c r="CZ78">
        <f>CR78</f>
        <v>2004</v>
      </c>
      <c r="DA78" s="8">
        <f>SUM(CT75:CT83)+SUM(CW75:CW83)</f>
        <v>4196.1286302035678</v>
      </c>
      <c r="DB78" s="8">
        <f>SUM(CU68:CU79)+SUM(CX68:CX79)</f>
        <v>3095.3003802090184</v>
      </c>
      <c r="DC78" s="8">
        <f>SUM(CV68:CV79)+SUM(CY68:CY79)</f>
        <v>3209.7710449218748</v>
      </c>
      <c r="FH78">
        <v>2004</v>
      </c>
      <c r="FI78" s="66">
        <v>11</v>
      </c>
      <c r="FJ78" s="8">
        <v>3498.8019695281964</v>
      </c>
      <c r="FK78" s="8">
        <v>0</v>
      </c>
      <c r="FL78" s="8">
        <v>0</v>
      </c>
      <c r="FM78" s="8">
        <v>36.095999999999997</v>
      </c>
      <c r="FN78">
        <f>FH78</f>
        <v>2004</v>
      </c>
      <c r="FO78" s="8">
        <f>SUM(FJ74:FJ82)</f>
        <v>11679.814565479754</v>
      </c>
      <c r="FP78" s="8">
        <f>SUM(FK66:FK77)</f>
        <v>10431.381530761719</v>
      </c>
      <c r="FQ78" s="8">
        <f>SUM(FL66:FL77)</f>
        <v>7416.63183593751</v>
      </c>
      <c r="FR78" s="8">
        <f>SUM(FM66:FM77)</f>
        <v>14019.902</v>
      </c>
    </row>
    <row r="79" spans="25:174" x14ac:dyDescent="0.25">
      <c r="Y79">
        <v>2004</v>
      </c>
      <c r="Z79">
        <v>11</v>
      </c>
      <c r="AA79" s="8">
        <v>282.28129768371599</v>
      </c>
      <c r="AB79" s="8">
        <v>42.506691098213224</v>
      </c>
      <c r="AC79" s="8">
        <v>0</v>
      </c>
      <c r="AD79" s="11">
        <v>76.893001645803594</v>
      </c>
      <c r="AG79" s="8">
        <f>SUM(AA75:AA82)</f>
        <v>60054.344951916493</v>
      </c>
      <c r="AH79" s="8">
        <f>SUM(AB75:AB82)</f>
        <v>12064.368506908419</v>
      </c>
      <c r="AI79" s="8">
        <f>SUM(AC67:AC78)</f>
        <v>14222.740722656255</v>
      </c>
      <c r="CR79">
        <v>2004</v>
      </c>
      <c r="CS79">
        <v>11</v>
      </c>
      <c r="CT79" s="11">
        <v>18.596296548843362</v>
      </c>
      <c r="CU79" s="11">
        <v>0</v>
      </c>
      <c r="CV79" s="11">
        <v>0</v>
      </c>
      <c r="CW79" s="8">
        <v>116.9222278594971</v>
      </c>
      <c r="CX79" s="8">
        <v>93.5892416532037</v>
      </c>
      <c r="CY79" s="8">
        <v>0</v>
      </c>
      <c r="DA79" s="8">
        <f>SUM(CT75:CT82)</f>
        <v>2234.9765449762344</v>
      </c>
      <c r="DB79" s="8">
        <f>SUM(CU75:CU82)</f>
        <v>311.16552734375</v>
      </c>
      <c r="DC79" s="8">
        <f>SUM(CV67:CV78)</f>
        <v>1388.068115234375</v>
      </c>
      <c r="FH79">
        <v>2004</v>
      </c>
      <c r="FI79" s="66">
        <v>12</v>
      </c>
      <c r="FJ79" s="8">
        <v>2779.7962913513193</v>
      </c>
      <c r="FK79" s="8">
        <v>7256.9818763732937</v>
      </c>
      <c r="FL79" s="8">
        <v>6038.648681640625</v>
      </c>
      <c r="FM79" s="8">
        <v>7115.8</v>
      </c>
    </row>
    <row r="80" spans="25:174" x14ac:dyDescent="0.25">
      <c r="Y80">
        <v>2004</v>
      </c>
      <c r="Z80">
        <v>12</v>
      </c>
      <c r="AA80" s="8">
        <v>6238.7043710947064</v>
      </c>
      <c r="AB80" s="8">
        <v>8956.4422374963797</v>
      </c>
      <c r="AC80" s="8">
        <v>34304.336509704604</v>
      </c>
      <c r="AD80" s="11">
        <v>79.361226707697057</v>
      </c>
      <c r="CR80">
        <v>2004</v>
      </c>
      <c r="CS80">
        <v>12</v>
      </c>
      <c r="CT80" s="11">
        <v>7.9357895851135201</v>
      </c>
      <c r="CU80" s="11">
        <v>311.16552734375</v>
      </c>
      <c r="CV80" s="11">
        <v>1709.96740722656</v>
      </c>
      <c r="CW80" s="8">
        <v>23.039883005619075</v>
      </c>
      <c r="CX80" s="8">
        <v>2844.6878326225087</v>
      </c>
      <c r="CY80" s="8">
        <v>716.10593261718759</v>
      </c>
      <c r="FH80">
        <v>2005</v>
      </c>
      <c r="FI80" s="66">
        <v>1</v>
      </c>
      <c r="FJ80" s="8">
        <v>0</v>
      </c>
      <c r="FK80" s="8">
        <v>3451.1094970703125</v>
      </c>
      <c r="FL80" s="8">
        <v>0</v>
      </c>
      <c r="FM80" s="8">
        <v>5210.1000000000004</v>
      </c>
    </row>
    <row r="81" spans="25:174" x14ac:dyDescent="0.25">
      <c r="Y81">
        <v>2005</v>
      </c>
      <c r="Z81">
        <v>1</v>
      </c>
      <c r="AA81" s="8">
        <v>24101.614425897602</v>
      </c>
      <c r="AB81" s="8">
        <v>3065.4195783138252</v>
      </c>
      <c r="AC81" s="8">
        <v>0</v>
      </c>
      <c r="AD81" s="11">
        <v>79.456101700663709</v>
      </c>
      <c r="CR81">
        <v>2005</v>
      </c>
      <c r="CS81">
        <v>1</v>
      </c>
      <c r="CT81" s="11">
        <v>0</v>
      </c>
      <c r="CU81" s="11">
        <v>0</v>
      </c>
      <c r="CV81" s="11">
        <v>0</v>
      </c>
      <c r="CW81" s="8">
        <v>16.375282043218618</v>
      </c>
      <c r="CX81" s="8">
        <v>49.031157097237895</v>
      </c>
      <c r="CY81" s="8">
        <v>0</v>
      </c>
      <c r="FH81">
        <v>2005</v>
      </c>
      <c r="FI81" s="66">
        <v>2</v>
      </c>
      <c r="FJ81" s="8">
        <v>3543.7762479782091</v>
      </c>
      <c r="FK81" s="8">
        <v>0</v>
      </c>
      <c r="FL81" s="8">
        <v>0</v>
      </c>
      <c r="FM81" s="8">
        <v>518.74</v>
      </c>
    </row>
    <row r="82" spans="25:174" x14ac:dyDescent="0.25">
      <c r="Y82">
        <v>2005</v>
      </c>
      <c r="Z82">
        <v>2</v>
      </c>
      <c r="AA82" s="8">
        <v>16028.696765482426</v>
      </c>
      <c r="AB82" s="8">
        <v>0</v>
      </c>
      <c r="AC82" s="8">
        <v>0</v>
      </c>
      <c r="AD82" s="11">
        <v>71.766801536083364</v>
      </c>
      <c r="CR82">
        <v>2005</v>
      </c>
      <c r="CS82">
        <v>2</v>
      </c>
      <c r="CT82" s="11">
        <v>349.25106811523437</v>
      </c>
      <c r="CU82" s="11">
        <v>0</v>
      </c>
      <c r="CV82" s="11">
        <v>0</v>
      </c>
      <c r="CW82" s="8">
        <v>26.184726497530932</v>
      </c>
      <c r="CX82" s="8">
        <v>0</v>
      </c>
      <c r="CY82" s="8">
        <v>0</v>
      </c>
      <c r="FH82">
        <v>2005</v>
      </c>
      <c r="FI82" s="66">
        <v>3</v>
      </c>
      <c r="FJ82" s="8">
        <v>1235.8556022644043</v>
      </c>
      <c r="FK82" s="8">
        <v>0</v>
      </c>
      <c r="FL82" s="8">
        <v>0</v>
      </c>
      <c r="FM82" s="8">
        <v>229.8</v>
      </c>
    </row>
    <row r="83" spans="25:174" x14ac:dyDescent="0.25">
      <c r="Y83">
        <v>2005</v>
      </c>
      <c r="Z83">
        <v>3</v>
      </c>
      <c r="AA83" s="8">
        <v>15869.899272528475</v>
      </c>
      <c r="AB83" s="8">
        <v>0</v>
      </c>
      <c r="AC83" s="8">
        <v>0</v>
      </c>
      <c r="AD83" s="11">
        <v>79.456101700663709</v>
      </c>
      <c r="CR83">
        <v>2005</v>
      </c>
      <c r="CS83">
        <v>3</v>
      </c>
      <c r="CT83" s="11">
        <v>1321.3388605117798</v>
      </c>
      <c r="CU83" s="11">
        <v>0</v>
      </c>
      <c r="CV83" s="11">
        <v>0</v>
      </c>
      <c r="CW83" s="8">
        <v>300.56791784893727</v>
      </c>
      <c r="CX83" s="8">
        <v>0</v>
      </c>
      <c r="CY83" s="8">
        <v>0</v>
      </c>
      <c r="FH83">
        <v>2005</v>
      </c>
      <c r="FI83" s="66">
        <v>4</v>
      </c>
      <c r="FJ83" s="8">
        <v>389.44840887933964</v>
      </c>
      <c r="FK83" s="8">
        <v>0</v>
      </c>
      <c r="FL83" s="8">
        <v>0</v>
      </c>
      <c r="FM83" s="8">
        <v>0</v>
      </c>
    </row>
    <row r="84" spans="25:174" x14ac:dyDescent="0.25">
      <c r="Y84">
        <v>2005</v>
      </c>
      <c r="Z84">
        <v>4</v>
      </c>
      <c r="AA84" s="8">
        <v>7648.9924271106738</v>
      </c>
      <c r="AB84" s="8">
        <v>0</v>
      </c>
      <c r="AC84" s="8">
        <v>0</v>
      </c>
      <c r="AD84" s="11">
        <v>76.1340021491052</v>
      </c>
      <c r="CR84">
        <v>2005</v>
      </c>
      <c r="CS84">
        <v>4</v>
      </c>
      <c r="CT84" s="11">
        <v>285.14222788810736</v>
      </c>
      <c r="CU84" s="11">
        <v>0</v>
      </c>
      <c r="CV84" s="11">
        <v>0</v>
      </c>
      <c r="CW84" s="8">
        <v>24.750359042594194</v>
      </c>
      <c r="CX84" s="8">
        <v>0</v>
      </c>
      <c r="CY84" s="8">
        <v>0</v>
      </c>
      <c r="FH84">
        <v>2005</v>
      </c>
      <c r="FI84" s="66">
        <v>5</v>
      </c>
      <c r="FJ84" s="8">
        <v>135.53263425827024</v>
      </c>
      <c r="FK84" s="8">
        <v>0</v>
      </c>
      <c r="FL84" s="8">
        <v>0</v>
      </c>
      <c r="FM84" s="8">
        <v>0</v>
      </c>
    </row>
    <row r="85" spans="25:174" x14ac:dyDescent="0.25">
      <c r="Y85">
        <v>2005</v>
      </c>
      <c r="Z85">
        <v>5</v>
      </c>
      <c r="AA85" s="8">
        <v>1732.678640127182</v>
      </c>
      <c r="AB85" s="8">
        <v>0</v>
      </c>
      <c r="AC85" s="8">
        <v>0</v>
      </c>
      <c r="AD85" s="11">
        <v>79.456101700663709</v>
      </c>
      <c r="CR85">
        <v>2005</v>
      </c>
      <c r="CS85">
        <v>5</v>
      </c>
      <c r="CT85" s="11">
        <v>72.803251147270188</v>
      </c>
      <c r="CU85" s="11">
        <v>0</v>
      </c>
      <c r="CV85" s="11">
        <v>0</v>
      </c>
      <c r="CW85" s="8">
        <v>79.52182813286781</v>
      </c>
      <c r="CX85" s="8">
        <v>0</v>
      </c>
      <c r="CY85" s="8">
        <v>0</v>
      </c>
      <c r="FH85">
        <v>2005</v>
      </c>
      <c r="FI85" s="66">
        <v>6</v>
      </c>
      <c r="FJ85" s="8">
        <v>208.30888271331787</v>
      </c>
      <c r="FK85" s="8">
        <v>0</v>
      </c>
      <c r="FL85" s="8">
        <v>0</v>
      </c>
      <c r="FM85" s="8">
        <v>0</v>
      </c>
    </row>
    <row r="86" spans="25:174" x14ac:dyDescent="0.25">
      <c r="Y86">
        <v>2005</v>
      </c>
      <c r="Z86">
        <v>6</v>
      </c>
      <c r="AA86" s="8">
        <v>3113.3384410142917</v>
      </c>
      <c r="AB86" s="8">
        <v>0</v>
      </c>
      <c r="AC86" s="8">
        <v>0</v>
      </c>
      <c r="AD86" s="11">
        <v>76.893001645803594</v>
      </c>
      <c r="CR86">
        <v>2005</v>
      </c>
      <c r="CS86">
        <v>6</v>
      </c>
      <c r="CT86" s="11">
        <v>120.6074390411377</v>
      </c>
      <c r="CU86" s="11">
        <v>0</v>
      </c>
      <c r="CV86" s="11">
        <v>0</v>
      </c>
      <c r="CW86" s="8">
        <v>31.520092966500666</v>
      </c>
      <c r="CX86" s="8">
        <v>110.99338455405092</v>
      </c>
      <c r="CY86" s="8">
        <v>819.82597656250005</v>
      </c>
      <c r="FH86">
        <v>2005</v>
      </c>
      <c r="FI86" s="66">
        <v>7</v>
      </c>
      <c r="FJ86" s="8">
        <v>49.260773658752413</v>
      </c>
      <c r="FK86" s="8">
        <v>4536.4573287963867</v>
      </c>
      <c r="FL86" s="8">
        <v>6048.9494628906305</v>
      </c>
      <c r="FM86" s="8">
        <v>7081.9</v>
      </c>
    </row>
    <row r="87" spans="25:174" x14ac:dyDescent="0.25">
      <c r="Y87">
        <v>2005</v>
      </c>
      <c r="Z87">
        <v>7</v>
      </c>
      <c r="AA87" s="8">
        <v>0</v>
      </c>
      <c r="AB87" s="8">
        <v>12058.284371495245</v>
      </c>
      <c r="AC87" s="8">
        <v>2356.76904296875</v>
      </c>
      <c r="AD87" s="11">
        <v>79.456101700663709</v>
      </c>
      <c r="CR87">
        <v>2005</v>
      </c>
      <c r="CS87">
        <v>7</v>
      </c>
      <c r="CT87" s="11">
        <v>0</v>
      </c>
      <c r="CU87" s="11">
        <v>931.8588562011721</v>
      </c>
      <c r="CV87" s="11">
        <v>1010.53308105469</v>
      </c>
      <c r="CW87" s="8">
        <v>0.55703189969062694</v>
      </c>
      <c r="CX87" s="8">
        <v>1447.7017179228133</v>
      </c>
      <c r="CY87" s="8">
        <v>18.812109375000002</v>
      </c>
      <c r="FH87">
        <v>2005</v>
      </c>
      <c r="FI87" s="66">
        <v>8</v>
      </c>
      <c r="FJ87" s="8">
        <v>0</v>
      </c>
      <c r="FK87" s="8">
        <v>0</v>
      </c>
      <c r="FL87" s="8">
        <v>0</v>
      </c>
      <c r="FM87" s="8">
        <v>19.343</v>
      </c>
    </row>
    <row r="88" spans="25:174" x14ac:dyDescent="0.25">
      <c r="Y88">
        <v>2005</v>
      </c>
      <c r="Z88">
        <v>8</v>
      </c>
      <c r="AA88" s="8">
        <v>14.107724219560623</v>
      </c>
      <c r="AB88" s="8">
        <v>0</v>
      </c>
      <c r="AC88" s="8">
        <v>0</v>
      </c>
      <c r="AD88" s="11">
        <v>79.456101700663709</v>
      </c>
      <c r="CR88">
        <v>2005</v>
      </c>
      <c r="CS88">
        <v>8</v>
      </c>
      <c r="CT88" s="11">
        <v>0</v>
      </c>
      <c r="CU88" s="11">
        <v>0</v>
      </c>
      <c r="CV88" s="11">
        <v>0</v>
      </c>
      <c r="CW88" s="8">
        <v>1.4399297773838031</v>
      </c>
      <c r="CX88" s="8">
        <v>10.620562230516221</v>
      </c>
      <c r="CY88" s="8">
        <v>0</v>
      </c>
      <c r="FH88">
        <v>2005</v>
      </c>
      <c r="FI88" s="66">
        <v>9</v>
      </c>
      <c r="FJ88" s="8">
        <v>240.7318782806407</v>
      </c>
      <c r="FK88" s="8">
        <v>0</v>
      </c>
      <c r="FL88" s="8">
        <v>0</v>
      </c>
      <c r="FM88" s="8">
        <v>98.724000000000004</v>
      </c>
    </row>
    <row r="89" spans="25:174" x14ac:dyDescent="0.25">
      <c r="Y89">
        <v>2005</v>
      </c>
      <c r="Z89">
        <v>9</v>
      </c>
      <c r="AA89" s="8">
        <v>13476.789805397391</v>
      </c>
      <c r="AB89" s="8">
        <v>678.51276051998184</v>
      </c>
      <c r="AC89" s="8">
        <v>0</v>
      </c>
      <c r="AD89" s="11">
        <v>76.893001645803594</v>
      </c>
      <c r="CR89">
        <v>2005</v>
      </c>
      <c r="CS89">
        <v>9</v>
      </c>
      <c r="CT89" s="11">
        <v>3.8988966941833501</v>
      </c>
      <c r="CU89" s="11">
        <v>148.42546653747601</v>
      </c>
      <c r="CV89" s="11">
        <v>0</v>
      </c>
      <c r="CW89" s="8">
        <v>31.322300028800953</v>
      </c>
      <c r="CX89" s="8">
        <v>8.9411723979050297</v>
      </c>
      <c r="CY89" s="8">
        <v>0</v>
      </c>
      <c r="FH89">
        <v>2005</v>
      </c>
      <c r="FI89" s="66">
        <v>10</v>
      </c>
      <c r="FJ89" s="8">
        <v>637.35897910594917</v>
      </c>
      <c r="FK89" s="8">
        <v>0</v>
      </c>
      <c r="FL89" s="8">
        <v>0</v>
      </c>
      <c r="FM89" s="8">
        <v>211.16</v>
      </c>
    </row>
    <row r="90" spans="25:174" x14ac:dyDescent="0.25">
      <c r="Y90">
        <v>2005</v>
      </c>
      <c r="Z90">
        <v>10</v>
      </c>
      <c r="AA90" s="8">
        <v>477.29208880662907</v>
      </c>
      <c r="AB90" s="8">
        <v>0</v>
      </c>
      <c r="AC90" s="8">
        <v>0</v>
      </c>
      <c r="AD90" s="11">
        <v>79.456101700663709</v>
      </c>
      <c r="AF90">
        <f>Y90</f>
        <v>2005</v>
      </c>
      <c r="AG90" s="8">
        <f>SUM(AA87:AA91)</f>
        <v>15736.105723798275</v>
      </c>
      <c r="AH90" s="8">
        <f>SUM(AB87:AB91)</f>
        <v>12736.797132015226</v>
      </c>
      <c r="AI90" s="8">
        <f>SUM(AC79:AC90)</f>
        <v>36661.105552673354</v>
      </c>
      <c r="AJ90" s="8">
        <f>AG90+AH90</f>
        <v>28472.902855813503</v>
      </c>
      <c r="CR90">
        <v>2005</v>
      </c>
      <c r="CS90">
        <v>10</v>
      </c>
      <c r="CT90" s="11">
        <v>0</v>
      </c>
      <c r="CU90" s="11">
        <v>0</v>
      </c>
      <c r="CV90" s="11">
        <v>0</v>
      </c>
      <c r="CW90" s="8">
        <v>3.3701437115669233</v>
      </c>
      <c r="CX90" s="8">
        <v>0</v>
      </c>
      <c r="CY90" s="8">
        <v>0</v>
      </c>
      <c r="CZ90">
        <f>CR90</f>
        <v>2005</v>
      </c>
      <c r="DA90" s="8">
        <f>SUM(CT87:CT95)+SUM(CW87:CW95)</f>
        <v>8697.9563027168624</v>
      </c>
      <c r="DB90" s="8">
        <f>SUM(CU80:CU91)+SUM(CX80:CX91)</f>
        <v>6075.4322832627395</v>
      </c>
      <c r="DC90" s="8">
        <f>SUM(CV80:CV91)+SUM(CY80:CY91)</f>
        <v>4275.2445068359375</v>
      </c>
      <c r="FH90">
        <v>2005</v>
      </c>
      <c r="FI90" s="66">
        <v>11</v>
      </c>
      <c r="FJ90" s="8">
        <v>1137.7027478218085</v>
      </c>
      <c r="FK90" s="8">
        <v>0</v>
      </c>
      <c r="FL90" s="8">
        <v>0</v>
      </c>
      <c r="FM90" s="8">
        <v>147.96</v>
      </c>
      <c r="FN90">
        <f>FH90</f>
        <v>2005</v>
      </c>
      <c r="FO90" s="8">
        <f>SUM(FJ86:FJ94)</f>
        <v>10756.769403576855</v>
      </c>
      <c r="FP90" s="8">
        <f>SUM(FK78:FK89)</f>
        <v>15244.548702239994</v>
      </c>
      <c r="FQ90" s="8">
        <f>SUM(FL78:FL89)</f>
        <v>12087.598144531255</v>
      </c>
      <c r="FR90" s="8">
        <f>SUM(FM78:FM89)</f>
        <v>20521.662999999997</v>
      </c>
    </row>
    <row r="91" spans="25:174" x14ac:dyDescent="0.25">
      <c r="Y91">
        <v>2005</v>
      </c>
      <c r="Z91">
        <v>11</v>
      </c>
      <c r="AA91" s="8">
        <v>1767.9161053746936</v>
      </c>
      <c r="AB91" s="8">
        <v>0</v>
      </c>
      <c r="AC91" s="8">
        <v>0</v>
      </c>
      <c r="AD91" s="11">
        <v>76.893001645803594</v>
      </c>
      <c r="AG91" s="8">
        <f>SUM(AA87:AA94)</f>
        <v>111795.78506758061</v>
      </c>
      <c r="AH91" s="8">
        <f>SUM(AB87:AB94)</f>
        <v>17044.805667221539</v>
      </c>
      <c r="AI91" s="8">
        <f>SUM(AC79:AC90)</f>
        <v>36661.105552673354</v>
      </c>
      <c r="CR91">
        <v>2005</v>
      </c>
      <c r="CS91">
        <v>11</v>
      </c>
      <c r="CT91" s="11">
        <v>0</v>
      </c>
      <c r="CU91" s="11">
        <v>0</v>
      </c>
      <c r="CV91" s="11">
        <v>0</v>
      </c>
      <c r="CW91" s="8">
        <v>86.83594760857531</v>
      </c>
      <c r="CX91" s="8">
        <v>212.00660635530963</v>
      </c>
      <c r="CY91" s="8">
        <v>0</v>
      </c>
      <c r="DA91" s="8">
        <f>SUM(CT87:CT94)</f>
        <v>640.38262748718262</v>
      </c>
      <c r="DB91" s="8">
        <f>SUM(CU87:CU94)</f>
        <v>1080.2843227386481</v>
      </c>
      <c r="DC91" s="8">
        <f>SUM(CV79:CV90)</f>
        <v>2720.50048828125</v>
      </c>
      <c r="FH91">
        <v>2005</v>
      </c>
      <c r="FI91" s="66">
        <v>12</v>
      </c>
      <c r="FJ91" s="8">
        <v>2713.3906910419473</v>
      </c>
      <c r="FK91" s="8">
        <v>0</v>
      </c>
      <c r="FL91" s="8">
        <v>0</v>
      </c>
      <c r="FM91" s="8">
        <v>1637.4</v>
      </c>
    </row>
    <row r="92" spans="25:174" x14ac:dyDescent="0.25">
      <c r="Y92">
        <v>2005</v>
      </c>
      <c r="Z92">
        <v>12</v>
      </c>
      <c r="AA92" s="8">
        <v>32904.078445993364</v>
      </c>
      <c r="AB92" s="8">
        <v>329.16086691617977</v>
      </c>
      <c r="AC92" s="8">
        <v>0</v>
      </c>
      <c r="AD92" s="11">
        <v>79.456101700663709</v>
      </c>
      <c r="CR92">
        <v>2005</v>
      </c>
      <c r="CS92">
        <v>12</v>
      </c>
      <c r="CT92" s="11">
        <v>0</v>
      </c>
      <c r="CU92" s="11">
        <v>0</v>
      </c>
      <c r="CV92" s="11">
        <v>0</v>
      </c>
      <c r="CW92" s="8">
        <v>980.78264770805845</v>
      </c>
      <c r="CX92" s="8">
        <v>208.10698263839586</v>
      </c>
      <c r="CY92" s="8">
        <v>0</v>
      </c>
      <c r="FH92">
        <v>2006</v>
      </c>
      <c r="FI92" s="66">
        <v>1</v>
      </c>
      <c r="FJ92" s="8">
        <v>3354.1204953193683</v>
      </c>
      <c r="FK92" s="8">
        <v>0</v>
      </c>
      <c r="FL92" s="8">
        <v>0</v>
      </c>
      <c r="FM92" s="8">
        <v>292.62</v>
      </c>
    </row>
    <row r="93" spans="25:174" x14ac:dyDescent="0.25">
      <c r="Y93">
        <v>2006</v>
      </c>
      <c r="Z93">
        <v>1</v>
      </c>
      <c r="AA93" s="8">
        <v>50269.664875745759</v>
      </c>
      <c r="AB93" s="8">
        <v>0</v>
      </c>
      <c r="AC93" s="8">
        <v>0</v>
      </c>
      <c r="AD93" s="11">
        <v>79.456101700663709</v>
      </c>
      <c r="CR93">
        <v>2006</v>
      </c>
      <c r="CS93">
        <v>1</v>
      </c>
      <c r="CT93" s="11">
        <v>273.44709777832048</v>
      </c>
      <c r="CU93" s="11">
        <v>0</v>
      </c>
      <c r="CV93" s="11">
        <v>0</v>
      </c>
      <c r="CW93" s="8">
        <v>3128.4511246473535</v>
      </c>
      <c r="CX93" s="8">
        <v>107.94889647960679</v>
      </c>
      <c r="CY93" s="8">
        <v>0</v>
      </c>
      <c r="FH93">
        <v>2006</v>
      </c>
      <c r="FI93" s="66">
        <v>2</v>
      </c>
      <c r="FJ93" s="8">
        <v>1228.4027891159062</v>
      </c>
      <c r="FK93" s="8">
        <v>376.61050415039</v>
      </c>
      <c r="FL93" s="8">
        <v>0</v>
      </c>
      <c r="FM93" s="8">
        <v>305.88</v>
      </c>
    </row>
    <row r="94" spans="25:174" x14ac:dyDescent="0.25">
      <c r="Y94">
        <v>2006</v>
      </c>
      <c r="Z94">
        <v>2</v>
      </c>
      <c r="AA94" s="8">
        <v>12885.936022043217</v>
      </c>
      <c r="AB94" s="8">
        <v>3978.8476682901346</v>
      </c>
      <c r="AC94" s="8">
        <v>0</v>
      </c>
      <c r="AD94" s="11">
        <v>71.766801536083364</v>
      </c>
      <c r="CR94">
        <v>2006</v>
      </c>
      <c r="CS94">
        <v>2</v>
      </c>
      <c r="CT94" s="11">
        <v>363.03663301467884</v>
      </c>
      <c r="CU94" s="11">
        <v>0</v>
      </c>
      <c r="CV94" s="11">
        <v>0</v>
      </c>
      <c r="CW94" s="8">
        <v>1803.5667495369901</v>
      </c>
      <c r="CX94" s="8">
        <v>66.283239317766842</v>
      </c>
      <c r="CY94" s="8">
        <v>0</v>
      </c>
      <c r="FH94">
        <v>2006</v>
      </c>
      <c r="FI94" s="66">
        <v>3</v>
      </c>
      <c r="FJ94" s="8">
        <v>1395.8010492324829</v>
      </c>
      <c r="FK94" s="8">
        <v>0</v>
      </c>
      <c r="FL94" s="8">
        <v>0</v>
      </c>
      <c r="FM94" s="8">
        <v>159.16</v>
      </c>
    </row>
    <row r="95" spans="25:174" x14ac:dyDescent="0.25">
      <c r="Y95">
        <v>2006</v>
      </c>
      <c r="Z95">
        <v>3</v>
      </c>
      <c r="AA95" s="8">
        <v>5654.1692935191086</v>
      </c>
      <c r="AB95" s="8">
        <v>0</v>
      </c>
      <c r="AC95" s="8">
        <v>0</v>
      </c>
      <c r="AD95" s="11">
        <v>79.456101700663709</v>
      </c>
      <c r="CR95">
        <v>2006</v>
      </c>
      <c r="CS95">
        <v>3</v>
      </c>
      <c r="CT95" s="11">
        <v>1141.0729722976685</v>
      </c>
      <c r="CU95" s="11">
        <v>0</v>
      </c>
      <c r="CV95" s="11">
        <v>0</v>
      </c>
      <c r="CW95" s="8">
        <v>880.17482801359131</v>
      </c>
      <c r="CX95" s="8">
        <v>0</v>
      </c>
      <c r="CY95" s="8">
        <v>0</v>
      </c>
      <c r="FH95">
        <v>2006</v>
      </c>
      <c r="FI95" s="66">
        <v>4</v>
      </c>
      <c r="FJ95" s="8">
        <v>403.12360215187095</v>
      </c>
      <c r="FK95" s="8">
        <v>0</v>
      </c>
      <c r="FL95" s="8">
        <v>0</v>
      </c>
      <c r="FM95" s="8">
        <v>0</v>
      </c>
    </row>
    <row r="96" spans="25:174" x14ac:dyDescent="0.25">
      <c r="Y96">
        <v>2006</v>
      </c>
      <c r="Z96">
        <v>4</v>
      </c>
      <c r="AA96" s="8">
        <v>1779.2564899921397</v>
      </c>
      <c r="AB96" s="8">
        <v>0</v>
      </c>
      <c r="AC96" s="8">
        <v>0</v>
      </c>
      <c r="AD96" s="11">
        <v>76.893001645803594</v>
      </c>
      <c r="CR96">
        <v>2006</v>
      </c>
      <c r="CS96">
        <v>4</v>
      </c>
      <c r="CT96" s="11">
        <v>145.92541766166684</v>
      </c>
      <c r="CU96" s="11">
        <v>0</v>
      </c>
      <c r="CV96" s="11">
        <v>0</v>
      </c>
      <c r="CW96" s="8">
        <v>42.438541718176545</v>
      </c>
      <c r="CX96" s="8">
        <v>0</v>
      </c>
      <c r="CY96" s="8">
        <v>0</v>
      </c>
      <c r="FH96">
        <v>2006</v>
      </c>
      <c r="FI96" s="66">
        <v>5</v>
      </c>
      <c r="FJ96" s="8">
        <v>0</v>
      </c>
      <c r="FK96" s="8">
        <v>0</v>
      </c>
      <c r="FL96" s="8">
        <v>0</v>
      </c>
      <c r="FM96" s="8">
        <v>0</v>
      </c>
    </row>
    <row r="97" spans="25:174" x14ac:dyDescent="0.25">
      <c r="Y97">
        <v>2006</v>
      </c>
      <c r="Z97">
        <v>5</v>
      </c>
      <c r="AA97" s="8">
        <v>59.814474999904633</v>
      </c>
      <c r="AB97" s="8">
        <v>0</v>
      </c>
      <c r="AC97" s="8">
        <v>0</v>
      </c>
      <c r="AD97" s="11">
        <v>79.456101700663709</v>
      </c>
      <c r="CR97">
        <v>2006</v>
      </c>
      <c r="CS97">
        <v>5</v>
      </c>
      <c r="CT97" s="11">
        <v>27.099846720695464</v>
      </c>
      <c r="CU97" s="11">
        <v>0</v>
      </c>
      <c r="CV97" s="11">
        <v>0</v>
      </c>
      <c r="CW97" s="8">
        <v>57.172362324595454</v>
      </c>
      <c r="CX97" s="8">
        <v>0</v>
      </c>
      <c r="CY97" s="8">
        <v>0</v>
      </c>
      <c r="FH97">
        <v>2006</v>
      </c>
      <c r="FI97" s="66">
        <v>6</v>
      </c>
      <c r="FJ97" s="8">
        <v>0</v>
      </c>
      <c r="FK97" s="8">
        <v>0</v>
      </c>
      <c r="FL97" s="8">
        <v>0</v>
      </c>
      <c r="FM97" s="8">
        <v>0</v>
      </c>
    </row>
    <row r="98" spans="25:174" x14ac:dyDescent="0.25">
      <c r="Y98">
        <v>2006</v>
      </c>
      <c r="Z98">
        <v>6</v>
      </c>
      <c r="AA98" s="8">
        <v>354.88792634010298</v>
      </c>
      <c r="AB98" s="8">
        <v>0</v>
      </c>
      <c r="AC98" s="8">
        <v>0</v>
      </c>
      <c r="AD98" s="11">
        <v>76.893001645803594</v>
      </c>
      <c r="CR98">
        <v>2006</v>
      </c>
      <c r="CS98">
        <v>6</v>
      </c>
      <c r="CT98" s="11">
        <v>188.70297479629517</v>
      </c>
      <c r="CU98" s="11">
        <v>0</v>
      </c>
      <c r="CV98" s="11">
        <v>0</v>
      </c>
      <c r="CW98" s="8">
        <v>60.316443024575712</v>
      </c>
      <c r="CX98" s="8">
        <v>0</v>
      </c>
      <c r="CY98" s="8">
        <v>0</v>
      </c>
      <c r="FH98">
        <v>2006</v>
      </c>
      <c r="FI98" s="66">
        <v>7</v>
      </c>
      <c r="FJ98" s="8">
        <v>0</v>
      </c>
      <c r="FK98" s="8">
        <v>0</v>
      </c>
      <c r="FL98" s="8">
        <v>0</v>
      </c>
      <c r="FM98" s="8">
        <v>0</v>
      </c>
    </row>
    <row r="99" spans="25:174" x14ac:dyDescent="0.25">
      <c r="Y99">
        <v>2006</v>
      </c>
      <c r="Z99">
        <v>7</v>
      </c>
      <c r="AA99" s="8">
        <v>152.88546527922151</v>
      </c>
      <c r="AB99" s="8">
        <v>0</v>
      </c>
      <c r="AC99" s="8">
        <v>0</v>
      </c>
      <c r="AD99" s="11">
        <v>79.456101700663709</v>
      </c>
      <c r="CR99">
        <v>2006</v>
      </c>
      <c r="CS99">
        <v>7</v>
      </c>
      <c r="CT99" s="11">
        <v>203.69435501098602</v>
      </c>
      <c r="CU99" s="11">
        <v>0</v>
      </c>
      <c r="CV99" s="11">
        <v>0</v>
      </c>
      <c r="CW99" s="8">
        <v>72.708291988819838</v>
      </c>
      <c r="CX99" s="8">
        <v>8.4794555275700976</v>
      </c>
      <c r="CY99" s="8">
        <v>0</v>
      </c>
      <c r="FH99">
        <v>2006</v>
      </c>
      <c r="FI99" s="66">
        <v>8</v>
      </c>
      <c r="FJ99" s="8">
        <v>0</v>
      </c>
      <c r="FK99" s="8">
        <v>0</v>
      </c>
      <c r="FL99" s="8">
        <v>0</v>
      </c>
      <c r="FM99" s="8">
        <v>0</v>
      </c>
    </row>
    <row r="100" spans="25:174" x14ac:dyDescent="0.25">
      <c r="Y100">
        <v>2006</v>
      </c>
      <c r="Z100">
        <v>8</v>
      </c>
      <c r="AA100" s="8">
        <v>195.68674292229113</v>
      </c>
      <c r="AB100" s="8">
        <v>0</v>
      </c>
      <c r="AC100" s="8">
        <v>0</v>
      </c>
      <c r="AD100" s="11">
        <v>79.456101700663709</v>
      </c>
      <c r="CR100">
        <v>2006</v>
      </c>
      <c r="CS100">
        <v>8</v>
      </c>
      <c r="CT100" s="11">
        <v>353.67580938339228</v>
      </c>
      <c r="CU100" s="11">
        <v>0</v>
      </c>
      <c r="CV100" s="11">
        <v>0</v>
      </c>
      <c r="CW100" s="8">
        <v>54.324027021229256</v>
      </c>
      <c r="CX100" s="8">
        <v>3.0360811233520502</v>
      </c>
      <c r="CY100" s="8">
        <v>0</v>
      </c>
      <c r="FH100">
        <v>2006</v>
      </c>
      <c r="FI100" s="66">
        <v>9</v>
      </c>
      <c r="FJ100" s="8">
        <v>0</v>
      </c>
      <c r="FK100" s="8">
        <v>0</v>
      </c>
      <c r="FL100" s="8">
        <v>0</v>
      </c>
      <c r="FM100" s="8">
        <v>0</v>
      </c>
    </row>
    <row r="101" spans="25:174" x14ac:dyDescent="0.25">
      <c r="Y101">
        <v>2006</v>
      </c>
      <c r="Z101">
        <v>9</v>
      </c>
      <c r="AA101" s="8">
        <v>117.99947315012108</v>
      </c>
      <c r="AB101" s="8">
        <v>0</v>
      </c>
      <c r="AC101" s="8">
        <v>0</v>
      </c>
      <c r="AD101" s="11">
        <v>76.893001645803594</v>
      </c>
      <c r="CR101">
        <v>2006</v>
      </c>
      <c r="CS101">
        <v>9</v>
      </c>
      <c r="CT101" s="11">
        <v>541.62209779024113</v>
      </c>
      <c r="CU101" s="11">
        <v>0</v>
      </c>
      <c r="CV101" s="11">
        <v>0</v>
      </c>
      <c r="CW101" s="8">
        <v>620.09957192149022</v>
      </c>
      <c r="CX101" s="8">
        <v>0.76535660475492662</v>
      </c>
      <c r="CY101" s="8">
        <v>0</v>
      </c>
      <c r="FH101">
        <v>2006</v>
      </c>
      <c r="FI101" s="66">
        <v>10</v>
      </c>
      <c r="FJ101" s="8">
        <v>0</v>
      </c>
      <c r="FK101" s="8">
        <v>0</v>
      </c>
      <c r="FL101" s="8">
        <v>0</v>
      </c>
      <c r="FM101" s="8">
        <v>0</v>
      </c>
    </row>
    <row r="102" spans="25:174" x14ac:dyDescent="0.25">
      <c r="Y102">
        <v>2006</v>
      </c>
      <c r="Z102">
        <v>10</v>
      </c>
      <c r="AA102" s="8">
        <v>5.486805617809293</v>
      </c>
      <c r="AB102" s="8">
        <v>0</v>
      </c>
      <c r="AC102" s="8">
        <v>0</v>
      </c>
      <c r="AD102" s="11">
        <v>79.456101700663709</v>
      </c>
      <c r="AF102">
        <f>Y102</f>
        <v>2006</v>
      </c>
      <c r="AG102" s="8">
        <f>SUM(AA99:AA103)</f>
        <v>714.54520312068075</v>
      </c>
      <c r="AH102" s="8">
        <f>SUM(AB99:AB103)</f>
        <v>0</v>
      </c>
      <c r="AI102" s="8">
        <f>SUM(AC91:AC102)</f>
        <v>0</v>
      </c>
      <c r="AJ102" s="8">
        <f>AG102+AH102</f>
        <v>714.54520312068075</v>
      </c>
      <c r="CR102">
        <v>2006</v>
      </c>
      <c r="CS102">
        <v>10</v>
      </c>
      <c r="CT102" s="11">
        <v>49.913935065269357</v>
      </c>
      <c r="CU102" s="11">
        <v>0</v>
      </c>
      <c r="CV102" s="11">
        <v>0</v>
      </c>
      <c r="CW102" s="8">
        <v>15.513966904208065</v>
      </c>
      <c r="CX102" s="8">
        <v>0</v>
      </c>
      <c r="CY102" s="8">
        <v>0</v>
      </c>
      <c r="CZ102">
        <f>CR102</f>
        <v>2006</v>
      </c>
      <c r="DA102" s="8">
        <f>SUM(CT99:CT107)+SUM(CW99:CW107)</f>
        <v>3042.0818760322227</v>
      </c>
      <c r="DB102" s="8">
        <f>SUM(CU92:CU103)+SUM(CX92:CX103)</f>
        <v>394.62001169144656</v>
      </c>
      <c r="DC102" s="8">
        <f>SUM(CV92:CV103)+SUM(CY92:CY103)</f>
        <v>0</v>
      </c>
      <c r="FH102">
        <v>2006</v>
      </c>
      <c r="FI102" s="66">
        <v>11</v>
      </c>
      <c r="FJ102" s="8">
        <v>0.75484893471002534</v>
      </c>
      <c r="FK102" s="8">
        <v>0</v>
      </c>
      <c r="FL102" s="8">
        <v>0</v>
      </c>
      <c r="FM102" s="8">
        <v>0</v>
      </c>
      <c r="FN102">
        <f>FH102</f>
        <v>2006</v>
      </c>
      <c r="FO102" s="8">
        <f>SUM(FJ98:FJ106)</f>
        <v>1.1590189114212983</v>
      </c>
      <c r="FP102" s="8">
        <f>SUM(FK90:FK101)</f>
        <v>376.61050415039</v>
      </c>
      <c r="FQ102" s="8">
        <f>SUM(FL90:FL101)</f>
        <v>0</v>
      </c>
      <c r="FR102" s="8">
        <f>SUM(FM90:FM101)</f>
        <v>2543.02</v>
      </c>
    </row>
    <row r="103" spans="25:174" x14ac:dyDescent="0.25">
      <c r="Y103">
        <v>2006</v>
      </c>
      <c r="Z103">
        <v>11</v>
      </c>
      <c r="AA103" s="8">
        <v>242.48671615123766</v>
      </c>
      <c r="AB103" s="8">
        <v>0</v>
      </c>
      <c r="AC103" s="8">
        <v>0</v>
      </c>
      <c r="AD103" s="11">
        <v>76.893001645803594</v>
      </c>
      <c r="AG103" s="8">
        <f>SUM(AA99:AA106)</f>
        <v>986.04928389308077</v>
      </c>
      <c r="AH103" s="8">
        <f>SUM(AB99:AB106)</f>
        <v>0</v>
      </c>
      <c r="AI103" s="8">
        <f>SUM(AC91:AC102)</f>
        <v>0</v>
      </c>
      <c r="CR103">
        <v>2006</v>
      </c>
      <c r="CS103">
        <v>11</v>
      </c>
      <c r="CT103" s="11">
        <v>213.8078460693358</v>
      </c>
      <c r="CU103" s="11">
        <v>0</v>
      </c>
      <c r="CV103" s="11">
        <v>0</v>
      </c>
      <c r="CW103" s="8">
        <v>87.526976090297083</v>
      </c>
      <c r="CX103" s="8">
        <v>0</v>
      </c>
      <c r="CY103" s="8">
        <v>0</v>
      </c>
      <c r="DA103" s="8">
        <f>SUM(CT99:CT106)</f>
        <v>1580.143004715442</v>
      </c>
      <c r="DB103" s="8">
        <f>SUM(CU99:CU106)</f>
        <v>0</v>
      </c>
      <c r="DC103" s="8">
        <f>SUM(CV91:CV102)</f>
        <v>0</v>
      </c>
      <c r="FH103">
        <v>2006</v>
      </c>
      <c r="FI103" s="66">
        <v>12</v>
      </c>
      <c r="FJ103" s="8">
        <v>0.40416997671127303</v>
      </c>
      <c r="FK103" s="8">
        <v>0</v>
      </c>
      <c r="FL103" s="8">
        <v>0</v>
      </c>
      <c r="FM103" s="8">
        <v>0</v>
      </c>
    </row>
    <row r="104" spans="25:174" x14ac:dyDescent="0.25">
      <c r="Y104">
        <v>2006</v>
      </c>
      <c r="Z104">
        <v>12</v>
      </c>
      <c r="AA104" s="8">
        <v>271.50408077240002</v>
      </c>
      <c r="AB104" s="8">
        <v>0</v>
      </c>
      <c r="AC104" s="8">
        <v>0</v>
      </c>
      <c r="AD104" s="11">
        <v>79.456101700663709</v>
      </c>
      <c r="CR104">
        <v>2006</v>
      </c>
      <c r="CS104">
        <v>12</v>
      </c>
      <c r="CT104" s="11">
        <v>217.42896139621732</v>
      </c>
      <c r="CU104" s="11">
        <v>0</v>
      </c>
      <c r="CV104" s="11">
        <v>0</v>
      </c>
      <c r="CW104" s="8">
        <v>285.63533926720851</v>
      </c>
      <c r="CX104" s="8">
        <v>0</v>
      </c>
      <c r="CY104" s="8">
        <v>0</v>
      </c>
      <c r="FH104">
        <v>2007</v>
      </c>
      <c r="FI104" s="66">
        <v>1</v>
      </c>
      <c r="FJ104" s="8">
        <v>0</v>
      </c>
      <c r="FK104" s="8">
        <v>0</v>
      </c>
      <c r="FL104" s="8">
        <v>0</v>
      </c>
      <c r="FM104" s="8">
        <v>0</v>
      </c>
    </row>
    <row r="105" spans="25:174" x14ac:dyDescent="0.25">
      <c r="Y105">
        <v>2007</v>
      </c>
      <c r="Z105">
        <v>1</v>
      </c>
      <c r="AA105" s="8">
        <v>0</v>
      </c>
      <c r="AB105" s="8">
        <v>0</v>
      </c>
      <c r="AC105" s="8">
        <v>0</v>
      </c>
      <c r="AD105" s="11">
        <v>79.456101700663709</v>
      </c>
      <c r="CR105">
        <v>2007</v>
      </c>
      <c r="CS105">
        <v>1</v>
      </c>
      <c r="CT105" s="11">
        <v>0</v>
      </c>
      <c r="CU105" s="11">
        <v>0</v>
      </c>
      <c r="CV105" s="11">
        <v>0</v>
      </c>
      <c r="CW105" s="8">
        <v>224.77642874717714</v>
      </c>
      <c r="CX105" s="8">
        <v>0</v>
      </c>
      <c r="CY105" s="8">
        <v>0</v>
      </c>
      <c r="FH105">
        <v>2007</v>
      </c>
      <c r="FI105" s="66">
        <v>2</v>
      </c>
      <c r="FJ105" s="8">
        <v>0</v>
      </c>
      <c r="FK105" s="8">
        <v>0</v>
      </c>
      <c r="FL105" s="8">
        <v>0</v>
      </c>
      <c r="FM105" s="8">
        <v>55.405000000000001</v>
      </c>
    </row>
    <row r="106" spans="25:174" x14ac:dyDescent="0.25">
      <c r="Y106">
        <v>2007</v>
      </c>
      <c r="Z106">
        <v>2</v>
      </c>
      <c r="AA106" s="8">
        <v>0</v>
      </c>
      <c r="AB106" s="8">
        <v>0</v>
      </c>
      <c r="AC106" s="8">
        <v>0</v>
      </c>
      <c r="AD106" s="11">
        <v>71.766801536083364</v>
      </c>
      <c r="CR106">
        <v>2007</v>
      </c>
      <c r="CS106">
        <v>2</v>
      </c>
      <c r="CT106" s="11">
        <v>0</v>
      </c>
      <c r="CU106" s="11">
        <v>0</v>
      </c>
      <c r="CV106" s="11">
        <v>0</v>
      </c>
      <c r="CW106" s="8">
        <v>0</v>
      </c>
      <c r="CX106" s="8">
        <v>3.6360087990760799E-2</v>
      </c>
      <c r="CY106" s="8">
        <v>0</v>
      </c>
      <c r="FH106">
        <v>2007</v>
      </c>
      <c r="FI106" s="66">
        <v>3</v>
      </c>
      <c r="FJ106" s="8">
        <v>0</v>
      </c>
      <c r="FK106" s="8">
        <v>0</v>
      </c>
      <c r="FL106" s="8">
        <v>0</v>
      </c>
      <c r="FM106" s="8">
        <v>156.79</v>
      </c>
    </row>
    <row r="107" spans="25:174" x14ac:dyDescent="0.25">
      <c r="Y107">
        <v>2007</v>
      </c>
      <c r="Z107">
        <v>3</v>
      </c>
      <c r="AA107" s="8">
        <v>1.400689399133622E-6</v>
      </c>
      <c r="AB107" s="8">
        <v>1911.196807384491</v>
      </c>
      <c r="AC107" s="8">
        <v>0</v>
      </c>
      <c r="AD107" s="11">
        <v>79.456101700663709</v>
      </c>
      <c r="CR107">
        <v>2007</v>
      </c>
      <c r="CS107">
        <v>3</v>
      </c>
      <c r="CT107" s="11">
        <v>2.9802322387695299E-8</v>
      </c>
      <c r="CU107" s="11">
        <v>844.04708862304699</v>
      </c>
      <c r="CV107" s="11">
        <v>0</v>
      </c>
      <c r="CW107" s="8">
        <v>101.35426934654816</v>
      </c>
      <c r="CX107" s="8">
        <v>142.25324835982181</v>
      </c>
      <c r="CY107" s="8">
        <v>0</v>
      </c>
      <c r="FH107">
        <v>2007</v>
      </c>
      <c r="FI107" s="66">
        <v>4</v>
      </c>
      <c r="FJ107" s="8">
        <v>0</v>
      </c>
      <c r="FK107" s="8">
        <v>0</v>
      </c>
      <c r="FL107" s="8">
        <v>0</v>
      </c>
      <c r="FM107" s="8">
        <v>0</v>
      </c>
    </row>
    <row r="108" spans="25:174" x14ac:dyDescent="0.25">
      <c r="Y108">
        <v>2007</v>
      </c>
      <c r="Z108">
        <v>4</v>
      </c>
      <c r="AA108" s="8">
        <v>0</v>
      </c>
      <c r="AB108" s="8">
        <v>0</v>
      </c>
      <c r="AC108" s="8">
        <v>0</v>
      </c>
      <c r="AD108" s="11">
        <v>76.893001645803594</v>
      </c>
      <c r="CR108">
        <v>2007</v>
      </c>
      <c r="CS108">
        <v>4</v>
      </c>
      <c r="CT108" s="11">
        <v>0</v>
      </c>
      <c r="CU108" s="11">
        <v>0</v>
      </c>
      <c r="CV108" s="11">
        <v>0</v>
      </c>
      <c r="CW108" s="8">
        <v>0</v>
      </c>
      <c r="CX108" s="8">
        <v>0</v>
      </c>
      <c r="CY108" s="8">
        <v>0</v>
      </c>
      <c r="FH108">
        <v>2007</v>
      </c>
      <c r="FI108" s="66">
        <v>5</v>
      </c>
      <c r="FJ108" s="8">
        <v>0</v>
      </c>
      <c r="FK108" s="8">
        <v>0</v>
      </c>
      <c r="FL108" s="8">
        <v>0</v>
      </c>
      <c r="FM108" s="8">
        <v>0</v>
      </c>
    </row>
    <row r="109" spans="25:174" x14ac:dyDescent="0.25">
      <c r="Y109">
        <v>2007</v>
      </c>
      <c r="Z109">
        <v>5</v>
      </c>
      <c r="AA109" s="8">
        <v>0</v>
      </c>
      <c r="AB109" s="8">
        <v>0</v>
      </c>
      <c r="AC109" s="8">
        <v>0</v>
      </c>
      <c r="AD109" s="11">
        <v>79.456101700663709</v>
      </c>
      <c r="CR109">
        <v>2007</v>
      </c>
      <c r="CS109">
        <v>5</v>
      </c>
      <c r="CT109" s="11">
        <v>0</v>
      </c>
      <c r="CU109" s="11">
        <v>0</v>
      </c>
      <c r="CV109" s="11">
        <v>0</v>
      </c>
      <c r="CW109" s="8">
        <v>0</v>
      </c>
      <c r="CX109" s="8">
        <v>0</v>
      </c>
      <c r="CY109" s="8">
        <v>0</v>
      </c>
      <c r="FH109">
        <v>2007</v>
      </c>
      <c r="FI109" s="66">
        <v>6</v>
      </c>
      <c r="FJ109" s="8">
        <v>0</v>
      </c>
      <c r="FK109" s="8">
        <v>3268.0666122436514</v>
      </c>
      <c r="FL109" s="8">
        <v>0</v>
      </c>
      <c r="FM109" s="8">
        <v>770.33</v>
      </c>
    </row>
    <row r="110" spans="25:174" x14ac:dyDescent="0.25">
      <c r="Y110">
        <v>2007</v>
      </c>
      <c r="Z110">
        <v>6</v>
      </c>
      <c r="AA110" s="8">
        <v>0</v>
      </c>
      <c r="AB110" s="8">
        <v>8511.6059522628839</v>
      </c>
      <c r="AC110" s="8">
        <v>0</v>
      </c>
      <c r="AD110" s="11">
        <v>76.893001645803594</v>
      </c>
      <c r="CR110">
        <v>2007</v>
      </c>
      <c r="CS110">
        <v>6</v>
      </c>
      <c r="CT110" s="11">
        <v>0</v>
      </c>
      <c r="CU110" s="11">
        <v>590.14489746093705</v>
      </c>
      <c r="CV110" s="11">
        <v>0</v>
      </c>
      <c r="CW110" s="8">
        <v>0</v>
      </c>
      <c r="CX110" s="8">
        <v>0</v>
      </c>
      <c r="CY110" s="8">
        <v>0</v>
      </c>
      <c r="FH110">
        <v>2007</v>
      </c>
      <c r="FI110" s="66">
        <v>7</v>
      </c>
      <c r="FJ110" s="8">
        <v>0</v>
      </c>
      <c r="FK110" s="8">
        <v>0</v>
      </c>
      <c r="FL110" s="8">
        <v>0</v>
      </c>
      <c r="FM110" s="8">
        <v>0</v>
      </c>
    </row>
    <row r="111" spans="25:174" x14ac:dyDescent="0.25">
      <c r="Y111">
        <v>2007</v>
      </c>
      <c r="Z111">
        <v>7</v>
      </c>
      <c r="AA111" s="8">
        <v>0</v>
      </c>
      <c r="AB111" s="8">
        <v>253.96875286102255</v>
      </c>
      <c r="AC111" s="8">
        <v>0</v>
      </c>
      <c r="AD111" s="11">
        <v>79.456101700663709</v>
      </c>
      <c r="CR111">
        <v>2007</v>
      </c>
      <c r="CS111">
        <v>7</v>
      </c>
      <c r="CT111" s="11">
        <v>0</v>
      </c>
      <c r="CU111" s="11">
        <v>694.0133590698249</v>
      </c>
      <c r="CV111" s="11">
        <v>0</v>
      </c>
      <c r="CW111" s="8">
        <v>13.580911076813928</v>
      </c>
      <c r="CX111" s="8">
        <v>0</v>
      </c>
      <c r="CY111" s="8">
        <v>0</v>
      </c>
      <c r="FH111">
        <v>2007</v>
      </c>
      <c r="FI111" s="66">
        <v>8</v>
      </c>
      <c r="FJ111" s="8">
        <v>0</v>
      </c>
      <c r="FK111" s="8">
        <v>488</v>
      </c>
      <c r="FL111" s="8">
        <v>0</v>
      </c>
      <c r="FM111" s="8">
        <v>0</v>
      </c>
    </row>
    <row r="112" spans="25:174" x14ac:dyDescent="0.25">
      <c r="Y112">
        <v>2007</v>
      </c>
      <c r="Z112">
        <v>8</v>
      </c>
      <c r="AA112" s="8">
        <v>167.85245132446343</v>
      </c>
      <c r="AB112" s="8">
        <v>1029.8982872962949</v>
      </c>
      <c r="AC112" s="8">
        <v>0</v>
      </c>
      <c r="AD112" s="11">
        <v>79.456101700663709</v>
      </c>
      <c r="CR112">
        <v>2007</v>
      </c>
      <c r="CS112">
        <v>8</v>
      </c>
      <c r="CT112" s="11">
        <v>0</v>
      </c>
      <c r="CU112" s="11">
        <v>860.50776672363418</v>
      </c>
      <c r="CV112" s="11">
        <v>0</v>
      </c>
      <c r="CW112" s="8">
        <v>14.051430840790269</v>
      </c>
      <c r="CX112" s="8">
        <v>169.85363146849014</v>
      </c>
      <c r="CY112" s="8">
        <v>0</v>
      </c>
      <c r="FH112">
        <v>2007</v>
      </c>
      <c r="FI112" s="66">
        <v>9</v>
      </c>
      <c r="FJ112" s="8">
        <v>0</v>
      </c>
      <c r="FK112" s="8">
        <v>1266</v>
      </c>
      <c r="FL112" s="8">
        <v>0</v>
      </c>
      <c r="FM112" s="8">
        <v>2389.5</v>
      </c>
    </row>
    <row r="113" spans="25:174" x14ac:dyDescent="0.25">
      <c r="Y113">
        <v>2007</v>
      </c>
      <c r="Z113">
        <v>9</v>
      </c>
      <c r="AA113" s="8">
        <v>782.72231769561813</v>
      </c>
      <c r="AB113" s="8">
        <v>0</v>
      </c>
      <c r="AC113" s="8">
        <v>0</v>
      </c>
      <c r="AD113" s="11">
        <v>76.893001645803594</v>
      </c>
      <c r="CR113">
        <v>2007</v>
      </c>
      <c r="CS113">
        <v>9</v>
      </c>
      <c r="CT113" s="11">
        <v>347.91469061374721</v>
      </c>
      <c r="CU113" s="11">
        <v>0</v>
      </c>
      <c r="CV113" s="11">
        <v>0</v>
      </c>
      <c r="CW113" s="8">
        <v>181.64844433382393</v>
      </c>
      <c r="CX113" s="8">
        <v>0</v>
      </c>
      <c r="CY113" s="8">
        <v>0</v>
      </c>
      <c r="FH113">
        <v>2007</v>
      </c>
      <c r="FI113" s="66">
        <v>10</v>
      </c>
      <c r="FJ113" s="8">
        <v>0</v>
      </c>
      <c r="FK113" s="8">
        <v>0</v>
      </c>
      <c r="FL113" s="8">
        <v>0</v>
      </c>
      <c r="FM113" s="8">
        <v>137.69999999999999</v>
      </c>
    </row>
    <row r="114" spans="25:174" x14ac:dyDescent="0.25">
      <c r="Y114">
        <v>2007</v>
      </c>
      <c r="Z114">
        <v>10</v>
      </c>
      <c r="AA114" s="8">
        <v>12.59093008749187</v>
      </c>
      <c r="AB114" s="8">
        <v>0</v>
      </c>
      <c r="AC114" s="8">
        <v>0</v>
      </c>
      <c r="AD114" s="11">
        <v>79.456101700663709</v>
      </c>
      <c r="AF114">
        <f>Y114</f>
        <v>2007</v>
      </c>
      <c r="AG114" s="8">
        <f>SUM(AA111:AA115)</f>
        <v>967.32811465859515</v>
      </c>
      <c r="AH114" s="8">
        <f>SUM(AB111:AB115)</f>
        <v>1283.8670401573174</v>
      </c>
      <c r="AI114" s="8">
        <f>SUM(AC103:AC114)</f>
        <v>0</v>
      </c>
      <c r="AJ114" s="8">
        <f>AG114+AH114</f>
        <v>2251.1951548159127</v>
      </c>
      <c r="CR114">
        <v>2007</v>
      </c>
      <c r="CS114">
        <v>10</v>
      </c>
      <c r="CT114" s="11">
        <v>0</v>
      </c>
      <c r="CU114" s="11">
        <v>0</v>
      </c>
      <c r="CV114" s="11">
        <v>0</v>
      </c>
      <c r="CW114" s="8">
        <v>30.355319242551925</v>
      </c>
      <c r="CX114" s="8">
        <v>0</v>
      </c>
      <c r="CY114" s="8">
        <v>0</v>
      </c>
      <c r="CZ114">
        <f>CR114</f>
        <v>2007</v>
      </c>
      <c r="DA114" s="8">
        <f>SUM(CT111:CT119)+SUM(CW111:CW119)</f>
        <v>2263.2241788873571</v>
      </c>
      <c r="DB114" s="8">
        <f>SUM(CU104:CU115)+SUM(CX104:CX115)</f>
        <v>3304.1836662215201</v>
      </c>
      <c r="DC114" s="8">
        <f>SUM(CV104:CV115)+SUM(CY104:CY115)</f>
        <v>0</v>
      </c>
      <c r="FH114">
        <v>2007</v>
      </c>
      <c r="FI114" s="66">
        <v>11</v>
      </c>
      <c r="FJ114" s="8">
        <v>54.380948305129948</v>
      </c>
      <c r="FK114" s="8">
        <v>0</v>
      </c>
      <c r="FL114" s="8">
        <v>0</v>
      </c>
      <c r="FM114" s="8">
        <v>499.2</v>
      </c>
      <c r="FN114">
        <f>FH114</f>
        <v>2007</v>
      </c>
      <c r="FO114" s="8">
        <f>SUM(FJ110:FJ118)</f>
        <v>70.656403779983449</v>
      </c>
      <c r="FP114" s="8">
        <f>SUM(FK102:FK113)</f>
        <v>5022.0666122436514</v>
      </c>
      <c r="FQ114" s="8">
        <f>SUM(FL102:FL113)</f>
        <v>0</v>
      </c>
      <c r="FR114" s="8">
        <f>SUM(FM102:FM113)</f>
        <v>3509.7249999999999</v>
      </c>
    </row>
    <row r="115" spans="25:174" x14ac:dyDescent="0.25">
      <c r="Y115">
        <v>2007</v>
      </c>
      <c r="Z115">
        <v>11</v>
      </c>
      <c r="AA115" s="8">
        <v>4.1624155510217014</v>
      </c>
      <c r="AB115" s="8">
        <v>0</v>
      </c>
      <c r="AC115" s="8">
        <v>0</v>
      </c>
      <c r="AD115" s="11">
        <v>76.893001645803594</v>
      </c>
      <c r="AG115" s="8">
        <f>SUM(AA111:AA118)</f>
        <v>10127.090468659999</v>
      </c>
      <c r="AH115" s="8">
        <f>SUM(AB111:AB118)</f>
        <v>32832.753996938452</v>
      </c>
      <c r="AI115" s="8">
        <f>SUM(AC103:AC114)</f>
        <v>0</v>
      </c>
      <c r="CR115">
        <v>2007</v>
      </c>
      <c r="CS115">
        <v>11</v>
      </c>
      <c r="CT115" s="11">
        <v>0</v>
      </c>
      <c r="CU115" s="11">
        <v>0</v>
      </c>
      <c r="CV115" s="11">
        <v>0</v>
      </c>
      <c r="CW115" s="8">
        <v>128.39303137334062</v>
      </c>
      <c r="CX115" s="8">
        <v>3.3273144277743998</v>
      </c>
      <c r="CY115" s="8">
        <v>0</v>
      </c>
      <c r="DA115" s="8">
        <f>SUM(CT111:CT118)</f>
        <v>912.83016240596839</v>
      </c>
      <c r="DB115" s="8">
        <f>SUM(CU111:CU118)</f>
        <v>2162.0000076293968</v>
      </c>
      <c r="DC115" s="8">
        <f>SUM(CV103:CV114)</f>
        <v>0</v>
      </c>
      <c r="FH115">
        <v>2007</v>
      </c>
      <c r="FI115" s="66">
        <v>12</v>
      </c>
      <c r="FJ115" s="8">
        <v>16.275455474853501</v>
      </c>
      <c r="FK115" s="8">
        <v>4470.7794799804687</v>
      </c>
      <c r="FL115" s="8">
        <v>9167.41796875</v>
      </c>
      <c r="FM115" s="8">
        <v>3990</v>
      </c>
    </row>
    <row r="116" spans="25:174" x14ac:dyDescent="0.25">
      <c r="Y116">
        <v>2007</v>
      </c>
      <c r="Z116">
        <v>12</v>
      </c>
      <c r="AA116" s="8">
        <v>542.081174984575</v>
      </c>
      <c r="AB116" s="8">
        <v>16683.625632405267</v>
      </c>
      <c r="AC116" s="8">
        <v>20611.92236328125</v>
      </c>
      <c r="AD116" s="11">
        <v>79.456101700663709</v>
      </c>
      <c r="CR116">
        <v>2007</v>
      </c>
      <c r="CS116">
        <v>12</v>
      </c>
      <c r="CT116" s="11">
        <v>201.77804827690125</v>
      </c>
      <c r="CU116" s="11">
        <v>579.96792602539074</v>
      </c>
      <c r="CV116" s="11">
        <v>0</v>
      </c>
      <c r="CW116" s="8">
        <v>249.94451870615603</v>
      </c>
      <c r="CX116" s="8">
        <v>0</v>
      </c>
      <c r="CY116" s="8">
        <v>0</v>
      </c>
      <c r="FH116">
        <v>2008</v>
      </c>
      <c r="FI116" s="66">
        <v>1</v>
      </c>
      <c r="FJ116" s="8">
        <v>0</v>
      </c>
      <c r="FK116" s="8">
        <v>1318.062744140625</v>
      </c>
      <c r="FL116" s="8">
        <v>0</v>
      </c>
      <c r="FM116" s="8">
        <v>6432.2</v>
      </c>
    </row>
    <row r="117" spans="25:174" x14ac:dyDescent="0.25">
      <c r="Y117">
        <v>2008</v>
      </c>
      <c r="Z117">
        <v>1</v>
      </c>
      <c r="AA117" s="8">
        <v>4572.3708917796612</v>
      </c>
      <c r="AB117" s="8">
        <v>1919.976314067841</v>
      </c>
      <c r="AC117" s="8">
        <v>0</v>
      </c>
      <c r="AD117" s="11">
        <v>79.456101700663709</v>
      </c>
      <c r="CR117">
        <v>2008</v>
      </c>
      <c r="CS117">
        <v>1</v>
      </c>
      <c r="CT117" s="11">
        <v>363.13742351531994</v>
      </c>
      <c r="CU117" s="11">
        <v>0</v>
      </c>
      <c r="CV117" s="11">
        <v>0</v>
      </c>
      <c r="CW117" s="8">
        <v>458.82109504453842</v>
      </c>
      <c r="CX117" s="8">
        <v>59.061931738257378</v>
      </c>
      <c r="CY117" s="8">
        <v>0</v>
      </c>
      <c r="FH117">
        <v>2008</v>
      </c>
      <c r="FI117" s="66">
        <v>2</v>
      </c>
      <c r="FJ117" s="8">
        <v>0</v>
      </c>
      <c r="FK117" s="8">
        <v>158.716796875</v>
      </c>
      <c r="FL117" s="8">
        <v>0</v>
      </c>
      <c r="FM117" s="8">
        <v>2518</v>
      </c>
    </row>
    <row r="118" spans="25:174" x14ac:dyDescent="0.25">
      <c r="Y118">
        <v>2008</v>
      </c>
      <c r="Z118">
        <v>2</v>
      </c>
      <c r="AA118" s="8">
        <v>4045.3102872371674</v>
      </c>
      <c r="AB118" s="8">
        <v>12945.285010308024</v>
      </c>
      <c r="AC118" s="8">
        <v>0</v>
      </c>
      <c r="AD118" s="11">
        <v>74.329901590943479</v>
      </c>
      <c r="CR118">
        <v>2008</v>
      </c>
      <c r="CS118">
        <v>2</v>
      </c>
      <c r="CT118" s="11">
        <v>0</v>
      </c>
      <c r="CU118" s="11">
        <v>27.5109558105469</v>
      </c>
      <c r="CV118" s="11">
        <v>0</v>
      </c>
      <c r="CW118" s="8">
        <v>135.71686954088506</v>
      </c>
      <c r="CX118" s="8">
        <v>1049.1141900374093</v>
      </c>
      <c r="CY118" s="8">
        <v>0</v>
      </c>
      <c r="FH118">
        <v>2008</v>
      </c>
      <c r="FI118" s="66">
        <v>3</v>
      </c>
      <c r="FJ118" s="8">
        <v>0</v>
      </c>
      <c r="FK118" s="8">
        <v>0</v>
      </c>
      <c r="FL118" s="8">
        <v>0</v>
      </c>
      <c r="FM118" s="8">
        <v>385.53</v>
      </c>
    </row>
    <row r="119" spans="25:174" x14ac:dyDescent="0.25">
      <c r="Y119">
        <v>2008</v>
      </c>
      <c r="Z119">
        <v>3</v>
      </c>
      <c r="AA119" s="8">
        <v>4236.2927440404901</v>
      </c>
      <c r="AB119" s="8">
        <v>0</v>
      </c>
      <c r="AC119" s="8">
        <v>0</v>
      </c>
      <c r="AD119" s="11">
        <v>79.456101700663709</v>
      </c>
      <c r="CR119">
        <v>2008</v>
      </c>
      <c r="CS119">
        <v>3</v>
      </c>
      <c r="CT119" s="11">
        <v>63.105621814727769</v>
      </c>
      <c r="CU119" s="11">
        <v>0</v>
      </c>
      <c r="CV119" s="11">
        <v>0</v>
      </c>
      <c r="CW119" s="8">
        <v>74.776774507760976</v>
      </c>
      <c r="CX119" s="8">
        <v>0</v>
      </c>
      <c r="CY119" s="8">
        <v>0</v>
      </c>
      <c r="FH119">
        <v>2008</v>
      </c>
      <c r="FI119" s="66">
        <v>4</v>
      </c>
      <c r="FJ119" s="8">
        <v>0</v>
      </c>
      <c r="FK119" s="8">
        <v>0</v>
      </c>
      <c r="FL119" s="8">
        <v>0</v>
      </c>
      <c r="FM119" s="8">
        <v>0</v>
      </c>
    </row>
    <row r="120" spans="25:174" x14ac:dyDescent="0.25">
      <c r="Y120">
        <v>2008</v>
      </c>
      <c r="Z120">
        <v>4</v>
      </c>
      <c r="AA120" s="8">
        <v>415.11706447601324</v>
      </c>
      <c r="AB120" s="8">
        <v>0</v>
      </c>
      <c r="AC120" s="8">
        <v>0</v>
      </c>
      <c r="AD120" s="11">
        <v>76.893001645803594</v>
      </c>
      <c r="CR120">
        <v>2008</v>
      </c>
      <c r="CS120">
        <v>4</v>
      </c>
      <c r="CT120" s="11">
        <v>441.5520943403244</v>
      </c>
      <c r="CU120" s="11">
        <v>0</v>
      </c>
      <c r="CV120" s="11">
        <v>0</v>
      </c>
      <c r="CW120" s="8">
        <v>104.00564588643608</v>
      </c>
      <c r="CX120" s="8">
        <v>0</v>
      </c>
      <c r="CY120" s="8">
        <v>0</v>
      </c>
      <c r="FH120">
        <v>2008</v>
      </c>
      <c r="FI120" s="66">
        <v>5</v>
      </c>
      <c r="FJ120" s="8">
        <v>0</v>
      </c>
      <c r="FK120" s="8">
        <v>0</v>
      </c>
      <c r="FL120" s="8">
        <v>0</v>
      </c>
      <c r="FM120" s="8">
        <v>0</v>
      </c>
    </row>
    <row r="121" spans="25:174" x14ac:dyDescent="0.25">
      <c r="Y121">
        <v>2008</v>
      </c>
      <c r="Z121">
        <v>5</v>
      </c>
      <c r="AA121" s="8">
        <v>49.599781394004765</v>
      </c>
      <c r="AB121" s="8">
        <v>0</v>
      </c>
      <c r="AC121" s="8">
        <v>0</v>
      </c>
      <c r="AD121" s="11">
        <v>79.456101700663709</v>
      </c>
      <c r="CR121">
        <v>2008</v>
      </c>
      <c r="CS121">
        <v>5</v>
      </c>
      <c r="CT121" s="11">
        <v>240.75130689144137</v>
      </c>
      <c r="CU121" s="11">
        <v>0</v>
      </c>
      <c r="CV121" s="11">
        <v>0</v>
      </c>
      <c r="CW121" s="8">
        <v>143.54289065599434</v>
      </c>
      <c r="CX121" s="8">
        <v>0</v>
      </c>
      <c r="CY121" s="8">
        <v>0</v>
      </c>
      <c r="FH121">
        <v>2008</v>
      </c>
      <c r="FI121" s="66">
        <v>6</v>
      </c>
      <c r="FJ121" s="8">
        <v>0</v>
      </c>
      <c r="FK121" s="8">
        <v>0</v>
      </c>
      <c r="FL121" s="8">
        <v>0</v>
      </c>
      <c r="FM121" s="8">
        <v>0</v>
      </c>
    </row>
    <row r="122" spans="25:174" x14ac:dyDescent="0.25">
      <c r="Y122">
        <v>2008</v>
      </c>
      <c r="Z122">
        <v>6</v>
      </c>
      <c r="AA122" s="8">
        <v>1249.0024099349976</v>
      </c>
      <c r="AB122" s="8">
        <v>0</v>
      </c>
      <c r="AC122" s="8">
        <v>0</v>
      </c>
      <c r="AD122" s="11">
        <v>76.893001645803594</v>
      </c>
      <c r="CR122">
        <v>2008</v>
      </c>
      <c r="CS122">
        <v>6</v>
      </c>
      <c r="CT122" s="11">
        <v>508.50452518463146</v>
      </c>
      <c r="CU122" s="11">
        <v>0</v>
      </c>
      <c r="CV122" s="11">
        <v>0</v>
      </c>
      <c r="CW122" s="8">
        <v>62.391416643559914</v>
      </c>
      <c r="CX122" s="8">
        <v>0</v>
      </c>
      <c r="CY122" s="8">
        <v>0</v>
      </c>
      <c r="FH122">
        <v>2008</v>
      </c>
      <c r="FI122" s="66">
        <v>7</v>
      </c>
      <c r="FJ122" s="8">
        <v>0</v>
      </c>
      <c r="FK122" s="8">
        <v>0</v>
      </c>
      <c r="FL122" s="8">
        <v>0</v>
      </c>
      <c r="FM122" s="8">
        <v>0</v>
      </c>
    </row>
    <row r="123" spans="25:174" x14ac:dyDescent="0.25">
      <c r="Y123">
        <v>2008</v>
      </c>
      <c r="Z123">
        <v>7</v>
      </c>
      <c r="AA123" s="8">
        <v>3033.6518576145158</v>
      </c>
      <c r="AB123" s="8">
        <v>0</v>
      </c>
      <c r="AC123" s="8">
        <v>0</v>
      </c>
      <c r="AD123" s="11">
        <v>79.456101700663709</v>
      </c>
      <c r="CR123">
        <v>2008</v>
      </c>
      <c r="CS123">
        <v>7</v>
      </c>
      <c r="CT123" s="11">
        <v>462.27588343620289</v>
      </c>
      <c r="CU123" s="11">
        <v>0</v>
      </c>
      <c r="CV123" s="11">
        <v>0</v>
      </c>
      <c r="CW123" s="8">
        <v>70.610062339529392</v>
      </c>
      <c r="CX123" s="8">
        <v>0</v>
      </c>
      <c r="CY123" s="8">
        <v>0</v>
      </c>
      <c r="FH123">
        <v>2008</v>
      </c>
      <c r="FI123" s="66">
        <v>8</v>
      </c>
      <c r="FJ123" s="8">
        <v>0</v>
      </c>
      <c r="FK123" s="8">
        <v>0</v>
      </c>
      <c r="FL123" s="8">
        <v>0</v>
      </c>
      <c r="FM123" s="8">
        <v>0</v>
      </c>
    </row>
    <row r="124" spans="25:174" x14ac:dyDescent="0.25">
      <c r="Y124">
        <v>2008</v>
      </c>
      <c r="Z124">
        <v>8</v>
      </c>
      <c r="AA124" s="8">
        <v>1156.8466860612396</v>
      </c>
      <c r="AB124" s="8">
        <v>0</v>
      </c>
      <c r="AC124" s="8">
        <v>0</v>
      </c>
      <c r="AD124" s="11">
        <v>79.456101700663709</v>
      </c>
      <c r="CR124">
        <v>2008</v>
      </c>
      <c r="CS124">
        <v>8</v>
      </c>
      <c r="CT124" s="11">
        <v>361.0463534593585</v>
      </c>
      <c r="CU124" s="11">
        <v>0</v>
      </c>
      <c r="CV124" s="11">
        <v>0</v>
      </c>
      <c r="CW124" s="8">
        <v>166.61915060877797</v>
      </c>
      <c r="CX124" s="8">
        <v>0</v>
      </c>
      <c r="CY124" s="8">
        <v>0</v>
      </c>
      <c r="FH124">
        <v>2008</v>
      </c>
      <c r="FI124" s="66">
        <v>9</v>
      </c>
      <c r="FJ124" s="8">
        <v>239.58348274231025</v>
      </c>
      <c r="FK124" s="8">
        <v>0</v>
      </c>
      <c r="FL124" s="8">
        <v>0</v>
      </c>
      <c r="FM124" s="8">
        <v>13.175000000000001</v>
      </c>
    </row>
    <row r="125" spans="25:174" x14ac:dyDescent="0.25">
      <c r="Y125">
        <v>2008</v>
      </c>
      <c r="Z125">
        <v>9</v>
      </c>
      <c r="AA125" s="8">
        <v>3719.7554120235141</v>
      </c>
      <c r="AB125" s="8">
        <v>217.04931712150568</v>
      </c>
      <c r="AC125" s="8">
        <v>0</v>
      </c>
      <c r="AD125" s="11">
        <v>76.893001645803594</v>
      </c>
      <c r="CR125">
        <v>2008</v>
      </c>
      <c r="CS125">
        <v>9</v>
      </c>
      <c r="CT125" s="11">
        <v>264.33932042121893</v>
      </c>
      <c r="CU125" s="11">
        <v>620.05277252197254</v>
      </c>
      <c r="CV125" s="11">
        <v>0</v>
      </c>
      <c r="CW125" s="8">
        <v>196.34967591091996</v>
      </c>
      <c r="CX125" s="8">
        <v>51.449385195225481</v>
      </c>
      <c r="CY125" s="8">
        <v>0</v>
      </c>
      <c r="FH125">
        <v>2008</v>
      </c>
      <c r="FI125" s="66">
        <v>10</v>
      </c>
      <c r="FJ125" s="8">
        <v>0</v>
      </c>
      <c r="FK125" s="8">
        <v>0</v>
      </c>
      <c r="FL125" s="8">
        <v>0</v>
      </c>
      <c r="FM125" s="8">
        <v>0</v>
      </c>
    </row>
    <row r="126" spans="25:174" x14ac:dyDescent="0.25">
      <c r="Y126">
        <v>2008</v>
      </c>
      <c r="Z126">
        <v>10</v>
      </c>
      <c r="AA126" s="8">
        <v>395.09335327148443</v>
      </c>
      <c r="AB126" s="8">
        <v>26.1462579965591</v>
      </c>
      <c r="AC126" s="8">
        <v>0</v>
      </c>
      <c r="AD126" s="11">
        <v>79.456101700663709</v>
      </c>
      <c r="AF126">
        <f>Y126</f>
        <v>2008</v>
      </c>
      <c r="AG126" s="8">
        <f>SUM(AA123:AA127)</f>
        <v>8578.3752071929612</v>
      </c>
      <c r="AH126" s="8">
        <f>SUM(AB123:AB127)</f>
        <v>243.19557511806477</v>
      </c>
      <c r="AI126" s="8">
        <f>SUM(AC115:AC126)</f>
        <v>20611.92236328125</v>
      </c>
      <c r="AJ126" s="8">
        <f>AG126+AH126</f>
        <v>8821.5707823110261</v>
      </c>
      <c r="CR126">
        <v>2008</v>
      </c>
      <c r="CS126">
        <v>10</v>
      </c>
      <c r="CT126" s="11">
        <v>0</v>
      </c>
      <c r="CU126" s="11">
        <v>390.00862884521524</v>
      </c>
      <c r="CV126" s="11">
        <v>0</v>
      </c>
      <c r="CW126" s="8">
        <v>15.634686396643525</v>
      </c>
      <c r="CX126" s="8">
        <v>0</v>
      </c>
      <c r="CY126" s="8">
        <v>0</v>
      </c>
      <c r="CZ126">
        <f>CR126</f>
        <v>2008</v>
      </c>
      <c r="DA126" s="8">
        <f>SUM(CT123:CT131)+SUM(CW123:CW131)</f>
        <v>3949.4099750652917</v>
      </c>
      <c r="DB126" s="8">
        <f>SUM(CU116:CU127)+SUM(CX116:CX127)</f>
        <v>3423.1633447914865</v>
      </c>
      <c r="DC126" s="8">
        <f>SUM(CV116:CV127)+SUM(CY116:CY127)</f>
        <v>0</v>
      </c>
      <c r="FH126">
        <v>2008</v>
      </c>
      <c r="FI126" s="66">
        <v>11</v>
      </c>
      <c r="FJ126" s="8">
        <v>49.579502388834968</v>
      </c>
      <c r="FK126" s="8">
        <v>0</v>
      </c>
      <c r="FL126" s="8">
        <v>0</v>
      </c>
      <c r="FM126" s="8">
        <v>0</v>
      </c>
      <c r="FN126">
        <f>FH126</f>
        <v>2008</v>
      </c>
      <c r="FO126" s="8">
        <f>SUM(FJ122:FJ130)</f>
        <v>2865.2166711539039</v>
      </c>
      <c r="FP126" s="8">
        <f>SUM(FK114:FK125)</f>
        <v>5947.5590209960937</v>
      </c>
      <c r="FQ126" s="8">
        <f>SUM(FL114:FL125)</f>
        <v>9167.41796875</v>
      </c>
      <c r="FR126" s="8">
        <f>SUM(FM114:FM125)</f>
        <v>13838.105</v>
      </c>
    </row>
    <row r="127" spans="25:174" x14ac:dyDescent="0.25">
      <c r="Y127">
        <v>2008</v>
      </c>
      <c r="Z127">
        <v>11</v>
      </c>
      <c r="AA127" s="8">
        <v>273.02789822220825</v>
      </c>
      <c r="AB127" s="8">
        <v>0</v>
      </c>
      <c r="AC127" s="8">
        <v>0</v>
      </c>
      <c r="AD127" s="11">
        <v>76.893001645803594</v>
      </c>
      <c r="AG127" s="8">
        <f>SUM(AA123:AA130)</f>
        <v>39824.252537019318</v>
      </c>
      <c r="AH127" s="8">
        <f>SUM(AB123:AB130)</f>
        <v>26289.33711564539</v>
      </c>
      <c r="AI127" s="8">
        <f>SUM(AC115:AC126)</f>
        <v>20611.92236328125</v>
      </c>
      <c r="CR127">
        <v>2008</v>
      </c>
      <c r="CS127">
        <v>11</v>
      </c>
      <c r="CT127" s="11">
        <v>0</v>
      </c>
      <c r="CU127" s="11">
        <v>0</v>
      </c>
      <c r="CV127" s="11">
        <v>0</v>
      </c>
      <c r="CW127" s="8">
        <v>155.43068248778584</v>
      </c>
      <c r="CX127" s="8">
        <v>645.99755461746884</v>
      </c>
      <c r="CY127" s="8">
        <v>0</v>
      </c>
      <c r="DA127" s="8">
        <f>SUM(CT123:CT130)</f>
        <v>1228.4602471590047</v>
      </c>
      <c r="DB127" s="8">
        <f>SUM(CU123:CU130)</f>
        <v>1426.4250488281257</v>
      </c>
      <c r="DC127" s="8">
        <f>SUM(CV115:CV126)</f>
        <v>0</v>
      </c>
      <c r="FH127">
        <v>2008</v>
      </c>
      <c r="FI127" s="66">
        <v>12</v>
      </c>
      <c r="FJ127" s="8">
        <v>777.79024684429169</v>
      </c>
      <c r="FK127" s="8">
        <v>8799.8500616848469</v>
      </c>
      <c r="FL127" s="8">
        <v>4512.4829101562555</v>
      </c>
      <c r="FM127" s="8">
        <v>6639.6</v>
      </c>
    </row>
    <row r="128" spans="25:174" x14ac:dyDescent="0.25">
      <c r="Y128">
        <v>2008</v>
      </c>
      <c r="Z128">
        <v>12</v>
      </c>
      <c r="AA128" s="8">
        <v>15249.256506085401</v>
      </c>
      <c r="AB128" s="8">
        <v>26046.141540527326</v>
      </c>
      <c r="AC128" s="8">
        <v>10409.841552734375</v>
      </c>
      <c r="AD128" s="11">
        <v>79.456101700663709</v>
      </c>
      <c r="CR128">
        <v>2008</v>
      </c>
      <c r="CS128">
        <v>12</v>
      </c>
      <c r="CT128" s="11">
        <v>0</v>
      </c>
      <c r="CU128" s="11">
        <v>416.36364746093801</v>
      </c>
      <c r="CV128" s="11">
        <v>157.13415527343801</v>
      </c>
      <c r="CW128" s="8">
        <v>373.83766412138948</v>
      </c>
      <c r="CX128" s="8">
        <v>161.57545490716581</v>
      </c>
      <c r="CY128" s="8">
        <v>0</v>
      </c>
      <c r="FH128">
        <v>2009</v>
      </c>
      <c r="FI128" s="66">
        <v>1</v>
      </c>
      <c r="FJ128" s="8">
        <v>0</v>
      </c>
      <c r="FK128" s="8">
        <v>0</v>
      </c>
      <c r="FL128" s="8">
        <v>0</v>
      </c>
      <c r="FM128" s="8">
        <v>679.55</v>
      </c>
    </row>
    <row r="129" spans="25:174" x14ac:dyDescent="0.25">
      <c r="Y129">
        <v>2009</v>
      </c>
      <c r="Z129">
        <v>1</v>
      </c>
      <c r="AA129" s="8">
        <v>11013.674384474754</v>
      </c>
      <c r="AB129" s="8">
        <v>0</v>
      </c>
      <c r="AC129" s="8">
        <v>0</v>
      </c>
      <c r="AD129" s="11">
        <v>79.456101700663709</v>
      </c>
      <c r="CR129">
        <v>2009</v>
      </c>
      <c r="CS129">
        <v>1</v>
      </c>
      <c r="CT129" s="11">
        <v>53.272765636444056</v>
      </c>
      <c r="CU129" s="11">
        <v>0</v>
      </c>
      <c r="CV129" s="11">
        <v>0</v>
      </c>
      <c r="CW129" s="8">
        <v>979.82867075800903</v>
      </c>
      <c r="CX129" s="8">
        <v>268.1424357426817</v>
      </c>
      <c r="CY129" s="8">
        <v>0</v>
      </c>
      <c r="FH129">
        <v>2009</v>
      </c>
      <c r="FI129" s="66">
        <v>2</v>
      </c>
      <c r="FJ129" s="8">
        <v>889.65161895751896</v>
      </c>
      <c r="FK129" s="8">
        <v>0</v>
      </c>
      <c r="FL129" s="8">
        <v>0</v>
      </c>
      <c r="FM129" s="8">
        <v>1197.7</v>
      </c>
    </row>
    <row r="130" spans="25:174" x14ac:dyDescent="0.25">
      <c r="Y130">
        <v>2009</v>
      </c>
      <c r="Z130">
        <v>2</v>
      </c>
      <c r="AA130" s="8">
        <v>4982.9464392662067</v>
      </c>
      <c r="AB130" s="8">
        <v>0</v>
      </c>
      <c r="AC130" s="8">
        <v>0</v>
      </c>
      <c r="AD130" s="11">
        <v>71.766801536083364</v>
      </c>
      <c r="CR130">
        <v>2009</v>
      </c>
      <c r="CS130">
        <v>2</v>
      </c>
      <c r="CT130" s="11">
        <v>87.525924205780271</v>
      </c>
      <c r="CU130" s="11">
        <v>0</v>
      </c>
      <c r="CV130" s="11">
        <v>0</v>
      </c>
      <c r="CW130" s="8">
        <v>374.87230671644221</v>
      </c>
      <c r="CX130" s="8">
        <v>212.11720777629549</v>
      </c>
      <c r="CY130" s="8">
        <v>0</v>
      </c>
      <c r="FH130">
        <v>2009</v>
      </c>
      <c r="FI130" s="66">
        <v>3</v>
      </c>
      <c r="FJ130" s="8">
        <v>908.61182022094818</v>
      </c>
      <c r="FK130" s="8">
        <v>0</v>
      </c>
      <c r="FL130" s="8">
        <v>0</v>
      </c>
      <c r="FM130" s="8">
        <v>387.26</v>
      </c>
    </row>
    <row r="131" spans="25:174" x14ac:dyDescent="0.25">
      <c r="Y131">
        <v>2009</v>
      </c>
      <c r="Z131">
        <v>3</v>
      </c>
      <c r="AA131" s="8">
        <v>6575.497790813447</v>
      </c>
      <c r="AB131" s="8">
        <v>0</v>
      </c>
      <c r="AC131" s="8">
        <v>0</v>
      </c>
      <c r="AD131" s="11">
        <v>78.602226734161519</v>
      </c>
      <c r="CR131">
        <v>2009</v>
      </c>
      <c r="CS131">
        <v>3</v>
      </c>
      <c r="CT131" s="11">
        <v>359.08798503875727</v>
      </c>
      <c r="CU131" s="11">
        <v>0</v>
      </c>
      <c r="CV131" s="11">
        <v>0</v>
      </c>
      <c r="CW131" s="8">
        <v>28.678843528032317</v>
      </c>
      <c r="CX131" s="8">
        <v>0</v>
      </c>
      <c r="CY131" s="8">
        <v>0</v>
      </c>
      <c r="FH131">
        <v>2009</v>
      </c>
      <c r="FI131" s="66">
        <v>4</v>
      </c>
      <c r="FJ131" s="8">
        <v>746.0223263502121</v>
      </c>
      <c r="FK131" s="8">
        <v>0</v>
      </c>
      <c r="FL131" s="8">
        <v>0</v>
      </c>
      <c r="FM131" s="8">
        <v>0</v>
      </c>
    </row>
    <row r="132" spans="25:174" x14ac:dyDescent="0.25">
      <c r="Y132">
        <v>2009</v>
      </c>
      <c r="Z132">
        <v>4</v>
      </c>
      <c r="AA132" s="8">
        <v>1112.7454218864434</v>
      </c>
      <c r="AB132" s="8">
        <v>0</v>
      </c>
      <c r="AC132" s="8">
        <v>0</v>
      </c>
      <c r="AD132" s="11">
        <v>76.893001645803594</v>
      </c>
      <c r="CR132">
        <v>2009</v>
      </c>
      <c r="CS132">
        <v>4</v>
      </c>
      <c r="CT132" s="11">
        <v>43.395959138870253</v>
      </c>
      <c r="CU132" s="11">
        <v>0</v>
      </c>
      <c r="CV132" s="11">
        <v>0</v>
      </c>
      <c r="CW132" s="8">
        <v>20.835027220658951</v>
      </c>
      <c r="CX132" s="8">
        <v>0</v>
      </c>
      <c r="CY132" s="8">
        <v>0</v>
      </c>
      <c r="FH132">
        <v>2009</v>
      </c>
      <c r="FI132" s="66">
        <v>5</v>
      </c>
      <c r="FJ132" s="8">
        <v>169.33484983444202</v>
      </c>
      <c r="FK132" s="8">
        <v>0</v>
      </c>
      <c r="FL132" s="8">
        <v>0</v>
      </c>
      <c r="FM132" s="8">
        <v>0</v>
      </c>
    </row>
    <row r="133" spans="25:174" x14ac:dyDescent="0.25">
      <c r="Y133">
        <v>2009</v>
      </c>
      <c r="Z133">
        <v>5</v>
      </c>
      <c r="AA133" s="8">
        <v>459.06800642609585</v>
      </c>
      <c r="AB133" s="8">
        <v>0</v>
      </c>
      <c r="AC133" s="8">
        <v>0</v>
      </c>
      <c r="AD133" s="11">
        <v>79.456101700663709</v>
      </c>
      <c r="CR133">
        <v>2009</v>
      </c>
      <c r="CS133">
        <v>5</v>
      </c>
      <c r="CT133" s="11">
        <v>0</v>
      </c>
      <c r="CU133" s="11">
        <v>0</v>
      </c>
      <c r="CV133" s="11">
        <v>0</v>
      </c>
      <c r="CW133" s="8">
        <v>31.290253936499358</v>
      </c>
      <c r="CX133" s="8">
        <v>0</v>
      </c>
      <c r="CY133" s="8">
        <v>0</v>
      </c>
      <c r="FH133">
        <v>2009</v>
      </c>
      <c r="FI133" s="66">
        <v>6</v>
      </c>
      <c r="FJ133" s="8">
        <v>189.94469642639157</v>
      </c>
      <c r="FK133" s="8">
        <v>0</v>
      </c>
      <c r="FL133" s="8">
        <v>0</v>
      </c>
      <c r="FM133" s="8">
        <v>430.18</v>
      </c>
    </row>
    <row r="134" spans="25:174" x14ac:dyDescent="0.25">
      <c r="Y134">
        <v>2009</v>
      </c>
      <c r="Z134">
        <v>6</v>
      </c>
      <c r="AA134" s="8">
        <v>3878.2973936125627</v>
      </c>
      <c r="AB134" s="8">
        <v>0</v>
      </c>
      <c r="AC134" s="8">
        <v>0</v>
      </c>
      <c r="AD134" s="11">
        <v>76.893001645803594</v>
      </c>
      <c r="CR134">
        <v>2009</v>
      </c>
      <c r="CS134">
        <v>6</v>
      </c>
      <c r="CT134" s="11">
        <v>94.852099776267991</v>
      </c>
      <c r="CU134" s="11">
        <v>0</v>
      </c>
      <c r="CV134" s="11">
        <v>0</v>
      </c>
      <c r="CW134" s="8">
        <v>6.2201517760753617</v>
      </c>
      <c r="CX134" s="8">
        <v>0</v>
      </c>
      <c r="CY134" s="8">
        <v>0</v>
      </c>
      <c r="FH134">
        <v>2009</v>
      </c>
      <c r="FI134" s="66">
        <v>7</v>
      </c>
      <c r="FJ134" s="8">
        <v>600.46153640747048</v>
      </c>
      <c r="FK134" s="8">
        <v>0</v>
      </c>
      <c r="FL134" s="8">
        <v>0</v>
      </c>
      <c r="FM134" s="8">
        <v>0</v>
      </c>
    </row>
    <row r="135" spans="25:174" x14ac:dyDescent="0.25">
      <c r="Y135">
        <v>2009</v>
      </c>
      <c r="Z135">
        <v>7</v>
      </c>
      <c r="AA135" s="8">
        <v>11744.616662293669</v>
      </c>
      <c r="AB135" s="8">
        <v>0</v>
      </c>
      <c r="AC135" s="8">
        <v>0</v>
      </c>
      <c r="AD135" s="11">
        <v>79.456101700663709</v>
      </c>
      <c r="CR135">
        <v>2009</v>
      </c>
      <c r="CS135">
        <v>7</v>
      </c>
      <c r="CT135" s="11">
        <v>679.25636386871315</v>
      </c>
      <c r="CU135" s="11">
        <v>0</v>
      </c>
      <c r="CV135" s="11">
        <v>0</v>
      </c>
      <c r="CW135" s="8">
        <v>51.338130396604527</v>
      </c>
      <c r="CX135" s="8">
        <v>0</v>
      </c>
      <c r="CY135" s="8">
        <v>0</v>
      </c>
      <c r="FH135">
        <v>2009</v>
      </c>
      <c r="FI135" s="66">
        <v>8</v>
      </c>
      <c r="FJ135" s="8">
        <v>860.39675331115711</v>
      </c>
      <c r="FK135" s="8">
        <v>0</v>
      </c>
      <c r="FL135" s="8">
        <v>0</v>
      </c>
      <c r="FM135" s="8">
        <v>0</v>
      </c>
    </row>
    <row r="136" spans="25:174" x14ac:dyDescent="0.25">
      <c r="Y136">
        <v>2009</v>
      </c>
      <c r="Z136">
        <v>8</v>
      </c>
      <c r="AA136" s="8">
        <v>16606.695005118847</v>
      </c>
      <c r="AB136" s="8">
        <v>0</v>
      </c>
      <c r="AC136" s="8">
        <v>0</v>
      </c>
      <c r="AD136" s="11">
        <v>79.456101700663709</v>
      </c>
      <c r="CR136">
        <v>2009</v>
      </c>
      <c r="CS136">
        <v>8</v>
      </c>
      <c r="CT136" s="11">
        <v>1364.1822865009306</v>
      </c>
      <c r="CU136" s="11">
        <v>72.32733917236331</v>
      </c>
      <c r="CV136" s="11">
        <v>0</v>
      </c>
      <c r="CW136" s="8">
        <v>60.543441045284276</v>
      </c>
      <c r="CX136" s="8">
        <v>0</v>
      </c>
      <c r="CY136" s="8">
        <v>0</v>
      </c>
      <c r="FH136">
        <v>2009</v>
      </c>
      <c r="FI136" s="66">
        <v>9</v>
      </c>
      <c r="FJ136" s="8">
        <v>1079.3805739879606</v>
      </c>
      <c r="FK136" s="8">
        <v>0</v>
      </c>
      <c r="FL136" s="8">
        <v>0</v>
      </c>
      <c r="FM136" s="8">
        <v>0</v>
      </c>
    </row>
    <row r="137" spans="25:174" x14ac:dyDescent="0.25">
      <c r="Y137">
        <v>2009</v>
      </c>
      <c r="Z137">
        <v>9</v>
      </c>
      <c r="AA137" s="8">
        <v>11163.571377974004</v>
      </c>
      <c r="AB137" s="8">
        <v>0</v>
      </c>
      <c r="AC137" s="8">
        <v>0</v>
      </c>
      <c r="AD137" s="11">
        <v>76.893001645803594</v>
      </c>
      <c r="CR137">
        <v>2009</v>
      </c>
      <c r="CS137">
        <v>9</v>
      </c>
      <c r="CT137" s="11">
        <v>1023.6953396797179</v>
      </c>
      <c r="CU137" s="11">
        <v>88.235416412353601</v>
      </c>
      <c r="CV137" s="11">
        <v>0</v>
      </c>
      <c r="CW137" s="8">
        <v>105.57862592695756</v>
      </c>
      <c r="CX137" s="8">
        <v>0</v>
      </c>
      <c r="CY137" s="8">
        <v>0</v>
      </c>
      <c r="FH137">
        <v>2009</v>
      </c>
      <c r="FI137" s="66">
        <v>10</v>
      </c>
      <c r="FJ137" s="8">
        <v>73.051589548587913</v>
      </c>
      <c r="FK137" s="8">
        <v>0</v>
      </c>
      <c r="FL137" s="8">
        <v>0</v>
      </c>
      <c r="FM137" s="8">
        <v>0</v>
      </c>
    </row>
    <row r="138" spans="25:174" x14ac:dyDescent="0.25">
      <c r="Y138">
        <v>2009</v>
      </c>
      <c r="Z138">
        <v>10</v>
      </c>
      <c r="AA138" s="8">
        <v>266.23183956742292</v>
      </c>
      <c r="AB138" s="8">
        <v>0</v>
      </c>
      <c r="AC138" s="8">
        <v>0</v>
      </c>
      <c r="AD138" s="11">
        <v>79.456101700663709</v>
      </c>
      <c r="AF138">
        <f>Y138</f>
        <v>2009</v>
      </c>
      <c r="AG138" s="8">
        <f>SUM(AA135:AA139)</f>
        <v>42101.47552774474</v>
      </c>
      <c r="AH138" s="8">
        <f>SUM(AB135:AB139)</f>
        <v>0</v>
      </c>
      <c r="AI138" s="8">
        <f>SUM(AC127:AC138)</f>
        <v>10409.841552734375</v>
      </c>
      <c r="AJ138" s="8">
        <f>AG138+AH138</f>
        <v>42101.47552774474</v>
      </c>
      <c r="CR138">
        <v>2009</v>
      </c>
      <c r="CS138">
        <v>10</v>
      </c>
      <c r="CT138" s="11">
        <v>49.517810821533111</v>
      </c>
      <c r="CU138" s="11">
        <v>0</v>
      </c>
      <c r="CV138" s="11">
        <v>0</v>
      </c>
      <c r="CW138" s="8">
        <v>1.4834638684988E-3</v>
      </c>
      <c r="CX138" s="8">
        <v>0</v>
      </c>
      <c r="CY138" s="8">
        <v>0</v>
      </c>
      <c r="CZ138">
        <f>CR138</f>
        <v>2009</v>
      </c>
      <c r="DA138" s="8">
        <f>SUM(CT135:CT143)+SUM(CW135:CW143)</f>
        <v>4167.4528999146305</v>
      </c>
      <c r="DB138" s="8">
        <f>SUM(CU128:CU139)+SUM(CX128:CX139)</f>
        <v>1218.7615014717981</v>
      </c>
      <c r="DC138" s="8">
        <f>SUM(CV128:CV139)+SUM(CY128:CY139)</f>
        <v>157.13415527343801</v>
      </c>
      <c r="FH138">
        <v>2009</v>
      </c>
      <c r="FI138" s="66">
        <v>11</v>
      </c>
      <c r="FJ138" s="8">
        <v>718.35279069840897</v>
      </c>
      <c r="FK138" s="8">
        <v>0</v>
      </c>
      <c r="FL138" s="8">
        <v>0</v>
      </c>
      <c r="FM138" s="8">
        <v>0</v>
      </c>
      <c r="FN138">
        <f>FH138</f>
        <v>2009</v>
      </c>
      <c r="FO138" s="8">
        <f>SUM(FJ134:FJ142)</f>
        <v>5469.4884482473117</v>
      </c>
      <c r="FP138" s="8">
        <f>SUM(FK126:FK137)</f>
        <v>8799.8500616848469</v>
      </c>
      <c r="FQ138" s="8">
        <f>SUM(FL126:FL137)</f>
        <v>4512.4829101562555</v>
      </c>
      <c r="FR138" s="8">
        <f>SUM(FM126:FM137)</f>
        <v>9334.2900000000009</v>
      </c>
    </row>
    <row r="139" spans="25:174" x14ac:dyDescent="0.25">
      <c r="Y139">
        <v>2009</v>
      </c>
      <c r="Z139">
        <v>11</v>
      </c>
      <c r="AA139" s="8">
        <v>2320.3606427907944</v>
      </c>
      <c r="AB139" s="8">
        <v>0</v>
      </c>
      <c r="AC139" s="8">
        <v>0</v>
      </c>
      <c r="AD139" s="11">
        <v>76.893001645803594</v>
      </c>
      <c r="AG139" s="8">
        <f>SUM(AA135:AA142)</f>
        <v>53495.198041837662</v>
      </c>
      <c r="AH139" s="8">
        <f>SUM(AB135:AB142)</f>
        <v>21363.088795781154</v>
      </c>
      <c r="AI139" s="8">
        <f>SUM(AC127:AC138)</f>
        <v>10409.841552734375</v>
      </c>
      <c r="CR139">
        <v>2009</v>
      </c>
      <c r="CS139">
        <v>11</v>
      </c>
      <c r="CT139" s="11">
        <v>183.68843865394598</v>
      </c>
      <c r="CU139" s="11">
        <v>0</v>
      </c>
      <c r="CV139" s="11">
        <v>0</v>
      </c>
      <c r="CW139" s="8">
        <v>0</v>
      </c>
      <c r="CX139" s="8">
        <v>0</v>
      </c>
      <c r="CY139" s="8">
        <v>0</v>
      </c>
      <c r="DA139" s="8">
        <f>SUM(CT135:CT142)</f>
        <v>3945.0560727119441</v>
      </c>
      <c r="DB139" s="8">
        <f>SUM(CU135:CU142)</f>
        <v>1129.1604709625253</v>
      </c>
      <c r="DC139" s="8">
        <f>SUM(CV127:CV138)</f>
        <v>157.13415527343801</v>
      </c>
      <c r="FH139">
        <v>2009</v>
      </c>
      <c r="FI139" s="66">
        <v>12</v>
      </c>
      <c r="FJ139" s="8">
        <v>939.4157075285907</v>
      </c>
      <c r="FK139" s="8">
        <v>0</v>
      </c>
      <c r="FL139" s="8">
        <v>0</v>
      </c>
      <c r="FM139" s="8">
        <v>0</v>
      </c>
    </row>
    <row r="140" spans="25:174" x14ac:dyDescent="0.25">
      <c r="Y140">
        <v>2009</v>
      </c>
      <c r="Z140">
        <v>12</v>
      </c>
      <c r="AA140" s="8">
        <v>11184.728920400143</v>
      </c>
      <c r="AB140" s="8">
        <v>647.96754837036099</v>
      </c>
      <c r="AC140" s="8">
        <v>0</v>
      </c>
      <c r="AD140" s="11">
        <v>79.456101700663709</v>
      </c>
      <c r="CR140">
        <v>2009</v>
      </c>
      <c r="CS140">
        <v>12</v>
      </c>
      <c r="CT140" s="11">
        <v>644.71583318710327</v>
      </c>
      <c r="CU140" s="11">
        <v>419.76815223693882</v>
      </c>
      <c r="CV140" s="11">
        <v>0</v>
      </c>
      <c r="CW140" s="8">
        <v>0</v>
      </c>
      <c r="CX140" s="8">
        <v>0</v>
      </c>
      <c r="CY140" s="8">
        <v>0</v>
      </c>
      <c r="FH140">
        <v>2010</v>
      </c>
      <c r="FI140" s="66">
        <v>1</v>
      </c>
      <c r="FJ140" s="8">
        <v>1198.4294967651372</v>
      </c>
      <c r="FK140" s="8">
        <v>9308.1568450927734</v>
      </c>
      <c r="FL140" s="8">
        <v>6319.087158203125</v>
      </c>
      <c r="FM140" s="8">
        <v>7011.2</v>
      </c>
    </row>
    <row r="141" spans="25:174" x14ac:dyDescent="0.25">
      <c r="Y141">
        <v>2010</v>
      </c>
      <c r="Z141">
        <v>1</v>
      </c>
      <c r="AA141" s="8">
        <v>9.5237431526184011</v>
      </c>
      <c r="AB141" s="8">
        <v>20715.121247410792</v>
      </c>
      <c r="AC141" s="8">
        <v>9600.2101058960016</v>
      </c>
      <c r="AD141" s="11">
        <v>79.456101700663709</v>
      </c>
      <c r="CR141">
        <v>2010</v>
      </c>
      <c r="CS141">
        <v>1</v>
      </c>
      <c r="CT141" s="11">
        <v>0</v>
      </c>
      <c r="CU141" s="11">
        <v>429.12442016601562</v>
      </c>
      <c r="CV141" s="11">
        <v>1026.30847167969</v>
      </c>
      <c r="CW141" s="8">
        <v>4.9351463699713385</v>
      </c>
      <c r="CX141" s="8">
        <v>211.17977273222061</v>
      </c>
      <c r="CY141" s="8">
        <v>0</v>
      </c>
      <c r="FH141">
        <v>2010</v>
      </c>
      <c r="FI141" s="66">
        <v>2</v>
      </c>
      <c r="FJ141" s="8">
        <v>0</v>
      </c>
      <c r="FK141" s="8">
        <v>0</v>
      </c>
      <c r="FL141" s="8">
        <v>0</v>
      </c>
      <c r="FM141" s="8">
        <v>682.71</v>
      </c>
    </row>
    <row r="142" spans="25:174" x14ac:dyDescent="0.25">
      <c r="Y142">
        <v>2010</v>
      </c>
      <c r="Z142">
        <v>2</v>
      </c>
      <c r="AA142" s="8">
        <v>199.46985054016113</v>
      </c>
      <c r="AB142" s="8">
        <v>0</v>
      </c>
      <c r="AC142" s="8">
        <v>0</v>
      </c>
      <c r="AD142" s="11">
        <v>71.766801536083364</v>
      </c>
      <c r="CR142">
        <v>2010</v>
      </c>
      <c r="CS142">
        <v>2</v>
      </c>
      <c r="CT142" s="11">
        <v>0</v>
      </c>
      <c r="CU142" s="11">
        <v>119.705142974854</v>
      </c>
      <c r="CV142" s="11">
        <v>0</v>
      </c>
      <c r="CW142" s="8">
        <v>0</v>
      </c>
      <c r="CX142" s="8">
        <v>0</v>
      </c>
      <c r="CY142" s="8">
        <v>0</v>
      </c>
      <c r="FH142">
        <v>2010</v>
      </c>
      <c r="FI142" s="66">
        <v>3</v>
      </c>
      <c r="FJ142" s="8">
        <v>0</v>
      </c>
      <c r="FK142" s="8">
        <v>0</v>
      </c>
      <c r="FL142" s="8">
        <v>0</v>
      </c>
      <c r="FM142" s="8">
        <v>6094.6</v>
      </c>
    </row>
    <row r="143" spans="25:174" x14ac:dyDescent="0.25">
      <c r="Y143">
        <v>2010</v>
      </c>
      <c r="Z143">
        <v>3</v>
      </c>
      <c r="AA143" s="8">
        <v>416.2486953735355</v>
      </c>
      <c r="AB143" s="8">
        <v>0</v>
      </c>
      <c r="AC143" s="8">
        <v>0</v>
      </c>
      <c r="AD143" s="11">
        <v>79.456101700663709</v>
      </c>
      <c r="CR143">
        <v>2010</v>
      </c>
      <c r="CS143">
        <v>3</v>
      </c>
      <c r="CT143" s="11">
        <v>0</v>
      </c>
      <c r="CU143" s="11">
        <v>0</v>
      </c>
      <c r="CV143" s="11">
        <v>0</v>
      </c>
      <c r="CW143" s="8">
        <v>0</v>
      </c>
      <c r="CX143" s="8">
        <v>0</v>
      </c>
      <c r="CY143" s="8">
        <v>0</v>
      </c>
      <c r="FH143">
        <v>2010</v>
      </c>
      <c r="FI143" s="66">
        <v>4</v>
      </c>
      <c r="FJ143" s="8">
        <v>0</v>
      </c>
      <c r="FK143" s="8">
        <v>0</v>
      </c>
      <c r="FL143" s="8">
        <v>0</v>
      </c>
      <c r="FM143" s="8">
        <v>542.48</v>
      </c>
    </row>
    <row r="144" spans="25:174" x14ac:dyDescent="0.25">
      <c r="Y144">
        <v>2010</v>
      </c>
      <c r="Z144">
        <v>4</v>
      </c>
      <c r="AA144" s="8">
        <v>7.68054294586182</v>
      </c>
      <c r="AB144" s="8">
        <v>367.77060699462902</v>
      </c>
      <c r="AC144" s="8">
        <v>0</v>
      </c>
      <c r="AD144" s="11">
        <v>76.893001645803594</v>
      </c>
      <c r="CR144">
        <v>2010</v>
      </c>
      <c r="CS144">
        <v>4</v>
      </c>
      <c r="CT144" s="11">
        <v>0</v>
      </c>
      <c r="CU144" s="11">
        <v>36.792552947998104</v>
      </c>
      <c r="CV144" s="11">
        <v>0</v>
      </c>
      <c r="CW144" s="8">
        <v>0</v>
      </c>
      <c r="CX144" s="8">
        <v>0</v>
      </c>
      <c r="CY144" s="8">
        <v>0</v>
      </c>
      <c r="FH144">
        <v>2010</v>
      </c>
      <c r="FI144" s="66">
        <v>5</v>
      </c>
      <c r="FJ144" s="8">
        <v>0</v>
      </c>
      <c r="FK144" s="8">
        <v>0</v>
      </c>
      <c r="FL144" s="8">
        <v>0</v>
      </c>
      <c r="FM144" s="8">
        <v>0</v>
      </c>
    </row>
    <row r="145" spans="25:174" x14ac:dyDescent="0.25">
      <c r="Y145">
        <v>2010</v>
      </c>
      <c r="Z145">
        <v>5</v>
      </c>
      <c r="AA145" s="8">
        <v>0</v>
      </c>
      <c r="AB145" s="8">
        <v>0</v>
      </c>
      <c r="AC145" s="8">
        <v>0</v>
      </c>
      <c r="AD145" s="11">
        <v>79.456101700663709</v>
      </c>
      <c r="CR145">
        <v>2010</v>
      </c>
      <c r="CS145">
        <v>5</v>
      </c>
      <c r="CT145" s="11">
        <v>0</v>
      </c>
      <c r="CU145" s="11">
        <v>0</v>
      </c>
      <c r="CV145" s="11">
        <v>0</v>
      </c>
      <c r="CW145" s="8">
        <v>0</v>
      </c>
      <c r="CX145" s="8">
        <v>0</v>
      </c>
      <c r="CY145" s="8">
        <v>0</v>
      </c>
      <c r="FH145">
        <v>2010</v>
      </c>
      <c r="FI145" s="66">
        <v>6</v>
      </c>
      <c r="FJ145" s="8">
        <v>0</v>
      </c>
      <c r="FK145" s="8">
        <v>0</v>
      </c>
      <c r="FL145" s="8">
        <v>0</v>
      </c>
      <c r="FM145" s="8">
        <v>0</v>
      </c>
    </row>
    <row r="146" spans="25:174" x14ac:dyDescent="0.25">
      <c r="Y146">
        <v>2010</v>
      </c>
      <c r="Z146">
        <v>6</v>
      </c>
      <c r="AA146" s="8">
        <v>22.478695482015617</v>
      </c>
      <c r="AB146" s="8">
        <v>0</v>
      </c>
      <c r="AC146" s="8">
        <v>0</v>
      </c>
      <c r="AD146" s="11">
        <v>76.893001645803594</v>
      </c>
      <c r="CR146">
        <v>2010</v>
      </c>
      <c r="CS146">
        <v>6</v>
      </c>
      <c r="CT146" s="11">
        <v>0</v>
      </c>
      <c r="CU146" s="11">
        <v>0</v>
      </c>
      <c r="CV146" s="11">
        <v>0</v>
      </c>
      <c r="CW146" s="8">
        <v>0</v>
      </c>
      <c r="CX146" s="8">
        <v>0</v>
      </c>
      <c r="CY146" s="8">
        <v>0</v>
      </c>
      <c r="FH146">
        <v>2010</v>
      </c>
      <c r="FI146" s="66">
        <v>7</v>
      </c>
      <c r="FJ146" s="8">
        <v>0</v>
      </c>
      <c r="FK146" s="8">
        <v>1891.913330078125</v>
      </c>
      <c r="FL146" s="8">
        <v>0</v>
      </c>
      <c r="FM146" s="8">
        <v>1602.7</v>
      </c>
    </row>
    <row r="147" spans="25:174" x14ac:dyDescent="0.25">
      <c r="Y147">
        <v>2010</v>
      </c>
      <c r="Z147">
        <v>7</v>
      </c>
      <c r="AA147" s="8">
        <v>58.268363595008879</v>
      </c>
      <c r="AB147" s="8">
        <v>1528.2533977031703</v>
      </c>
      <c r="AC147" s="8">
        <v>0</v>
      </c>
      <c r="AD147" s="11">
        <v>79.456101700663709</v>
      </c>
      <c r="CR147">
        <v>2010</v>
      </c>
      <c r="CS147">
        <v>7</v>
      </c>
      <c r="CT147" s="11">
        <v>0</v>
      </c>
      <c r="CU147" s="11">
        <v>1282.8282279968253</v>
      </c>
      <c r="CV147" s="11">
        <v>0</v>
      </c>
      <c r="CW147" s="8">
        <v>0</v>
      </c>
      <c r="CX147" s="8">
        <v>6.6620693773031263</v>
      </c>
      <c r="CY147" s="8">
        <v>0</v>
      </c>
      <c r="FH147">
        <v>2010</v>
      </c>
      <c r="FI147" s="66">
        <v>8</v>
      </c>
      <c r="FJ147" s="8">
        <v>0</v>
      </c>
      <c r="FK147" s="8">
        <v>2701.5944213867187</v>
      </c>
      <c r="FL147" s="8">
        <v>2290.088378906255</v>
      </c>
      <c r="FM147" s="8">
        <v>3934.6</v>
      </c>
    </row>
    <row r="148" spans="25:174" x14ac:dyDescent="0.25">
      <c r="Y148">
        <v>2010</v>
      </c>
      <c r="Z148">
        <v>8</v>
      </c>
      <c r="AA148" s="8">
        <v>1056.8236780166617</v>
      </c>
      <c r="AB148" s="8">
        <v>12143.847895264633</v>
      </c>
      <c r="AC148" s="8">
        <v>8700.8437500000091</v>
      </c>
      <c r="AD148" s="11">
        <v>79.456101700663709</v>
      </c>
      <c r="CR148">
        <v>2010</v>
      </c>
      <c r="CS148">
        <v>8</v>
      </c>
      <c r="CT148" s="11">
        <v>0</v>
      </c>
      <c r="CU148" s="11">
        <v>147.07727050781261</v>
      </c>
      <c r="CV148" s="11">
        <v>69.5621337890625</v>
      </c>
      <c r="CW148" s="8">
        <v>0</v>
      </c>
      <c r="CX148" s="8">
        <v>1815.1526146574354</v>
      </c>
      <c r="CY148" s="8">
        <v>0</v>
      </c>
      <c r="FH148">
        <v>2010</v>
      </c>
      <c r="FI148" s="66">
        <v>9</v>
      </c>
      <c r="FJ148" s="8">
        <v>0</v>
      </c>
      <c r="FK148" s="8">
        <v>478.82080078125</v>
      </c>
      <c r="FL148" s="8">
        <v>0</v>
      </c>
      <c r="FM148" s="8">
        <v>2248.6999999999998</v>
      </c>
    </row>
    <row r="149" spans="25:174" x14ac:dyDescent="0.25">
      <c r="Y149">
        <v>2010</v>
      </c>
      <c r="Z149">
        <v>9</v>
      </c>
      <c r="AA149" s="8">
        <v>5477.2933989465228</v>
      </c>
      <c r="AB149" s="8">
        <v>1208.2249298095712</v>
      </c>
      <c r="AC149" s="8">
        <v>0</v>
      </c>
      <c r="AD149" s="11">
        <v>76.893001645803594</v>
      </c>
      <c r="CR149">
        <v>2010</v>
      </c>
      <c r="CS149">
        <v>9</v>
      </c>
      <c r="CT149" s="11">
        <v>119.32766914367701</v>
      </c>
      <c r="CU149" s="11">
        <v>57.4078979492188</v>
      </c>
      <c r="CV149" s="11">
        <v>0</v>
      </c>
      <c r="CW149" s="8">
        <v>8.3652950108051272</v>
      </c>
      <c r="CX149" s="8">
        <v>1121.1055012295437</v>
      </c>
      <c r="CY149" s="8">
        <v>0</v>
      </c>
      <c r="FH149">
        <v>2010</v>
      </c>
      <c r="FI149" s="66">
        <v>10</v>
      </c>
      <c r="FJ149" s="8">
        <v>0</v>
      </c>
      <c r="FK149" s="8">
        <v>0</v>
      </c>
      <c r="FL149" s="8">
        <v>0</v>
      </c>
      <c r="FM149" s="8">
        <v>2079.6</v>
      </c>
    </row>
    <row r="150" spans="25:174" x14ac:dyDescent="0.25">
      <c r="Y150">
        <v>2010</v>
      </c>
      <c r="Z150">
        <v>10</v>
      </c>
      <c r="AA150" s="8">
        <v>1670.2301709651952</v>
      </c>
      <c r="AB150" s="8">
        <v>72.036329507827801</v>
      </c>
      <c r="AC150" s="8">
        <v>0</v>
      </c>
      <c r="AD150" s="11">
        <v>79.456101700663709</v>
      </c>
      <c r="AF150">
        <f>Y150</f>
        <v>2010</v>
      </c>
      <c r="AG150" s="8">
        <f>SUM(AA147:AA151)</f>
        <v>8923.1271967589837</v>
      </c>
      <c r="AH150" s="8">
        <f>SUM(AB147:AB151)</f>
        <v>22696.373115494855</v>
      </c>
      <c r="AI150" s="8">
        <f>SUM(AC139:AC150)</f>
        <v>18301.053855896011</v>
      </c>
      <c r="AJ150" s="8">
        <f>AG150+AH150</f>
        <v>31619.50031225384</v>
      </c>
      <c r="CR150">
        <v>2010</v>
      </c>
      <c r="CS150">
        <v>10</v>
      </c>
      <c r="CT150" s="11">
        <v>0</v>
      </c>
      <c r="CU150" s="11">
        <v>0</v>
      </c>
      <c r="CV150" s="11">
        <v>0</v>
      </c>
      <c r="CW150" s="8">
        <v>0</v>
      </c>
      <c r="CX150" s="8">
        <v>1293.460082026834</v>
      </c>
      <c r="CY150" s="8">
        <v>0</v>
      </c>
      <c r="CZ150">
        <f>CR150</f>
        <v>2010</v>
      </c>
      <c r="DA150" s="8">
        <f>SUM(CT147:CT155)+SUM(CW147:CW155)</f>
        <v>6289.2258965864803</v>
      </c>
      <c r="DB150" s="8">
        <f>SUM(CU140:CU151)+SUM(CX140:CX151)</f>
        <v>7340.2833999683116</v>
      </c>
      <c r="DC150" s="8">
        <f>SUM(CV140:CV151)+SUM(CY140:CY151)</f>
        <v>1095.8706054687525</v>
      </c>
      <c r="FH150">
        <v>2010</v>
      </c>
      <c r="FI150" s="66">
        <v>11</v>
      </c>
      <c r="FJ150" s="8">
        <v>0</v>
      </c>
      <c r="FK150" s="8">
        <v>0</v>
      </c>
      <c r="FL150" s="8">
        <v>0</v>
      </c>
      <c r="FM150" s="8">
        <v>385.53</v>
      </c>
      <c r="FN150">
        <f>FH150</f>
        <v>2010</v>
      </c>
      <c r="FO150" s="8">
        <f>SUM(FJ146:FJ154)</f>
        <v>3506.592018127441</v>
      </c>
      <c r="FP150" s="8">
        <f>SUM(FK138:FK149)</f>
        <v>14380.485397338867</v>
      </c>
      <c r="FQ150" s="8">
        <f>SUM(FL138:FL149)</f>
        <v>8609.1755371093805</v>
      </c>
      <c r="FR150" s="8">
        <f>SUM(FM138:FM149)</f>
        <v>24196.59</v>
      </c>
    </row>
    <row r="151" spans="25:174" x14ac:dyDescent="0.25">
      <c r="Y151">
        <v>2010</v>
      </c>
      <c r="Z151">
        <v>11</v>
      </c>
      <c r="AA151" s="8">
        <v>660.51158523559548</v>
      </c>
      <c r="AB151" s="8">
        <v>7744.0105632096529</v>
      </c>
      <c r="AC151" s="8">
        <v>0</v>
      </c>
      <c r="AD151" s="11">
        <v>76.893001645803594</v>
      </c>
      <c r="AG151" s="8">
        <f>SUM(AA147:AA154)</f>
        <v>94662.721135050058</v>
      </c>
      <c r="AH151" s="8">
        <f>SUM(AB147:AB154)</f>
        <v>37195.462507620461</v>
      </c>
      <c r="AI151" s="8">
        <f>SUM(AC139:AC150)</f>
        <v>18301.053855896011</v>
      </c>
      <c r="CR151">
        <v>2010</v>
      </c>
      <c r="CS151">
        <v>11</v>
      </c>
      <c r="CT151" s="11">
        <v>0</v>
      </c>
      <c r="CU151" s="11">
        <v>1.5052490234375</v>
      </c>
      <c r="CV151" s="11">
        <v>0</v>
      </c>
      <c r="CW151" s="8">
        <v>15.597861492633823</v>
      </c>
      <c r="CX151" s="8">
        <v>398.51444614187358</v>
      </c>
      <c r="CY151" s="8">
        <v>0</v>
      </c>
      <c r="DA151" s="8">
        <f>SUM(CT147:CT154)</f>
        <v>842.47300624847492</v>
      </c>
      <c r="DB151" s="8">
        <f>SUM(CU147:CU154)</f>
        <v>1554.1015434265128</v>
      </c>
      <c r="DC151" s="8">
        <f>SUM(CV139:CV150)</f>
        <v>1095.8706054687525</v>
      </c>
      <c r="FH151">
        <v>2010</v>
      </c>
      <c r="FI151" s="66">
        <v>12</v>
      </c>
      <c r="FJ151" s="8">
        <v>0</v>
      </c>
      <c r="FK151" s="8">
        <v>517.81298828125</v>
      </c>
      <c r="FL151" s="8">
        <v>0</v>
      </c>
      <c r="FM151" s="8">
        <v>38.939</v>
      </c>
    </row>
    <row r="152" spans="25:174" x14ac:dyDescent="0.25">
      <c r="Y152">
        <v>2010</v>
      </c>
      <c r="Z152">
        <v>12</v>
      </c>
      <c r="AA152" s="8">
        <v>1297.0605430006985</v>
      </c>
      <c r="AB152" s="8">
        <v>11946.440725207329</v>
      </c>
      <c r="AC152" s="8">
        <v>5695.1415023803711</v>
      </c>
      <c r="AD152" s="11">
        <v>79.456101700663709</v>
      </c>
      <c r="CR152">
        <v>2010</v>
      </c>
      <c r="CS152">
        <v>12</v>
      </c>
      <c r="CT152" s="11">
        <v>0</v>
      </c>
      <c r="CU152" s="11">
        <v>0</v>
      </c>
      <c r="CV152" s="11">
        <v>507.143310546875</v>
      </c>
      <c r="CW152" s="8">
        <v>140.21565135866405</v>
      </c>
      <c r="CX152" s="8">
        <v>528.39845633623224</v>
      </c>
      <c r="CY152" s="8">
        <v>0</v>
      </c>
      <c r="FH152">
        <v>2011</v>
      </c>
      <c r="FI152" s="66">
        <v>1</v>
      </c>
      <c r="FJ152" s="8">
        <v>0</v>
      </c>
      <c r="FK152" s="8">
        <v>6169.5538940429697</v>
      </c>
      <c r="FL152" s="8">
        <v>222.7578125</v>
      </c>
      <c r="FM152" s="8">
        <v>2760.2</v>
      </c>
    </row>
    <row r="153" spans="25:174" x14ac:dyDescent="0.25">
      <c r="Y153">
        <v>2011</v>
      </c>
      <c r="Z153">
        <v>1</v>
      </c>
      <c r="AA153" s="8">
        <v>38686.111518859885</v>
      </c>
      <c r="AB153" s="8">
        <v>2552.6486669182786</v>
      </c>
      <c r="AC153" s="8">
        <v>0</v>
      </c>
      <c r="AD153" s="11">
        <v>79.456101700663709</v>
      </c>
      <c r="CR153">
        <v>2011</v>
      </c>
      <c r="CS153">
        <v>1</v>
      </c>
      <c r="CT153" s="11">
        <v>0</v>
      </c>
      <c r="CU153" s="11">
        <v>65.282897949218778</v>
      </c>
      <c r="CV153" s="11">
        <v>0</v>
      </c>
      <c r="CW153" s="8">
        <v>1773.1213840037585</v>
      </c>
      <c r="CX153" s="8">
        <v>231.41385238766654</v>
      </c>
      <c r="CY153" s="8">
        <v>0</v>
      </c>
      <c r="FH153">
        <v>2011</v>
      </c>
      <c r="FI153" s="66">
        <v>2</v>
      </c>
      <c r="FJ153" s="8">
        <v>110.9393310546875</v>
      </c>
      <c r="FK153" s="8">
        <v>0</v>
      </c>
      <c r="FL153" s="8">
        <v>0</v>
      </c>
      <c r="FM153" s="8">
        <v>3252.1</v>
      </c>
    </row>
    <row r="154" spans="25:174" x14ac:dyDescent="0.25">
      <c r="Y154">
        <v>2011</v>
      </c>
      <c r="Z154">
        <v>2</v>
      </c>
      <c r="AA154" s="8">
        <v>45756.421876430497</v>
      </c>
      <c r="AB154" s="8">
        <v>0</v>
      </c>
      <c r="AC154" s="8">
        <v>0</v>
      </c>
      <c r="AD154" s="11">
        <v>71.766801536083364</v>
      </c>
      <c r="CR154">
        <v>2011</v>
      </c>
      <c r="CS154">
        <v>2</v>
      </c>
      <c r="CT154" s="11">
        <v>723.14533710479793</v>
      </c>
      <c r="CU154" s="11">
        <v>0</v>
      </c>
      <c r="CV154" s="11">
        <v>0</v>
      </c>
      <c r="CW154" s="8">
        <v>1058.9454234749091</v>
      </c>
      <c r="CX154" s="8">
        <v>1.7926715493202208</v>
      </c>
      <c r="CY154" s="8">
        <v>0</v>
      </c>
      <c r="FH154">
        <v>2011</v>
      </c>
      <c r="FI154" s="66">
        <v>3</v>
      </c>
      <c r="FJ154" s="8">
        <v>3395.6526870727535</v>
      </c>
      <c r="FK154" s="8">
        <v>0</v>
      </c>
      <c r="FL154" s="8">
        <v>0</v>
      </c>
      <c r="FM154" s="8">
        <v>955.65</v>
      </c>
    </row>
    <row r="155" spans="25:174" x14ac:dyDescent="0.25">
      <c r="Y155">
        <v>2011</v>
      </c>
      <c r="Z155">
        <v>3</v>
      </c>
      <c r="AA155" s="8">
        <v>20837.559117376812</v>
      </c>
      <c r="AB155" s="8">
        <v>0</v>
      </c>
      <c r="AC155" s="8">
        <v>0</v>
      </c>
      <c r="AD155" s="11">
        <v>79.456101700663709</v>
      </c>
      <c r="CR155">
        <v>2011</v>
      </c>
      <c r="CS155">
        <v>3</v>
      </c>
      <c r="CT155" s="11">
        <v>1422.7470984458923</v>
      </c>
      <c r="CU155" s="11">
        <v>0</v>
      </c>
      <c r="CV155" s="11">
        <v>0</v>
      </c>
      <c r="CW155" s="8">
        <v>1027.7601765513423</v>
      </c>
      <c r="CX155" s="8">
        <v>0.13700221776962301</v>
      </c>
      <c r="CY155" s="8">
        <v>0</v>
      </c>
      <c r="FH155">
        <v>2011</v>
      </c>
      <c r="FI155" s="66">
        <v>4</v>
      </c>
      <c r="FJ155" s="8">
        <v>1211.5058832168579</v>
      </c>
      <c r="FK155" s="8">
        <v>0</v>
      </c>
      <c r="FL155" s="8">
        <v>0</v>
      </c>
      <c r="FM155" s="8">
        <v>78.578000000000003</v>
      </c>
    </row>
    <row r="156" spans="25:174" x14ac:dyDescent="0.25">
      <c r="Y156">
        <v>2011</v>
      </c>
      <c r="Z156">
        <v>4</v>
      </c>
      <c r="AA156" s="8">
        <v>4137.1944152116785</v>
      </c>
      <c r="AB156" s="8">
        <v>0</v>
      </c>
      <c r="AC156" s="8">
        <v>0</v>
      </c>
      <c r="AD156" s="11">
        <v>76.893001645803594</v>
      </c>
      <c r="CR156">
        <v>2011</v>
      </c>
      <c r="CS156">
        <v>4</v>
      </c>
      <c r="CT156" s="11">
        <v>184.82026243209836</v>
      </c>
      <c r="CU156" s="11">
        <v>0</v>
      </c>
      <c r="CV156" s="11">
        <v>0</v>
      </c>
      <c r="CW156" s="8">
        <v>20.080229367443831</v>
      </c>
      <c r="CX156" s="8">
        <v>0</v>
      </c>
      <c r="CY156" s="8">
        <v>0</v>
      </c>
      <c r="FH156">
        <v>2011</v>
      </c>
      <c r="FI156" s="66">
        <v>5</v>
      </c>
      <c r="FJ156" s="8">
        <v>302.23862576484703</v>
      </c>
      <c r="FK156" s="8">
        <v>0</v>
      </c>
      <c r="FL156" s="8">
        <v>0</v>
      </c>
      <c r="FM156" s="8">
        <v>60.143000000000001</v>
      </c>
    </row>
    <row r="157" spans="25:174" x14ac:dyDescent="0.25">
      <c r="Y157">
        <v>2011</v>
      </c>
      <c r="Z157">
        <v>5</v>
      </c>
      <c r="AA157" s="8">
        <v>2599.1239322721976</v>
      </c>
      <c r="AB157" s="8">
        <v>0</v>
      </c>
      <c r="AC157" s="8">
        <v>0</v>
      </c>
      <c r="AD157" s="11">
        <v>79.456101700663709</v>
      </c>
      <c r="CR157">
        <v>2011</v>
      </c>
      <c r="CS157">
        <v>5</v>
      </c>
      <c r="CT157" s="11">
        <v>114.72481608390808</v>
      </c>
      <c r="CU157" s="11">
        <v>0</v>
      </c>
      <c r="CV157" s="11">
        <v>0</v>
      </c>
      <c r="CW157" s="8">
        <v>83.23162234425547</v>
      </c>
      <c r="CX157" s="8">
        <v>0</v>
      </c>
      <c r="CY157" s="8">
        <v>0</v>
      </c>
      <c r="FH157">
        <v>2011</v>
      </c>
      <c r="FI157" s="66">
        <v>6</v>
      </c>
      <c r="FJ157" s="8">
        <v>442.84081244468712</v>
      </c>
      <c r="FK157" s="8">
        <v>534.38716125488327</v>
      </c>
      <c r="FL157" s="8">
        <v>0</v>
      </c>
      <c r="FM157" s="8">
        <v>80.884</v>
      </c>
    </row>
    <row r="158" spans="25:174" x14ac:dyDescent="0.25">
      <c r="Y158">
        <v>2011</v>
      </c>
      <c r="Z158">
        <v>6</v>
      </c>
      <c r="AA158" s="8">
        <v>2157.9461060017347</v>
      </c>
      <c r="AB158" s="8">
        <v>2328.9816865921021</v>
      </c>
      <c r="AC158" s="8">
        <v>0</v>
      </c>
      <c r="AD158" s="11">
        <v>76.893001645803594</v>
      </c>
      <c r="CR158">
        <v>2011</v>
      </c>
      <c r="CS158">
        <v>6</v>
      </c>
      <c r="CT158" s="11">
        <v>56.044876694679189</v>
      </c>
      <c r="CU158" s="11">
        <v>422.25278472900436</v>
      </c>
      <c r="CV158" s="11">
        <v>0</v>
      </c>
      <c r="CW158" s="8">
        <v>86.907727424055338</v>
      </c>
      <c r="CX158" s="8">
        <v>195.02364287786213</v>
      </c>
      <c r="CY158" s="8">
        <v>0</v>
      </c>
      <c r="FH158">
        <v>2011</v>
      </c>
      <c r="FI158" s="66">
        <v>7</v>
      </c>
      <c r="FJ158" s="8">
        <v>408.2815775871278</v>
      </c>
      <c r="FK158" s="8">
        <v>0</v>
      </c>
      <c r="FL158" s="8">
        <v>0</v>
      </c>
      <c r="FM158" s="8">
        <v>1522.3</v>
      </c>
    </row>
    <row r="159" spans="25:174" x14ac:dyDescent="0.25">
      <c r="Y159">
        <v>2011</v>
      </c>
      <c r="Z159">
        <v>7</v>
      </c>
      <c r="AA159" s="8">
        <v>12883.665310025215</v>
      </c>
      <c r="AB159" s="8">
        <v>0</v>
      </c>
      <c r="AC159" s="8">
        <v>0</v>
      </c>
      <c r="AD159" s="11">
        <v>79.456101700663709</v>
      </c>
      <c r="CR159">
        <v>2011</v>
      </c>
      <c r="CS159">
        <v>7</v>
      </c>
      <c r="CT159" s="11">
        <v>686.89688301086437</v>
      </c>
      <c r="CU159" s="11">
        <v>0</v>
      </c>
      <c r="CV159" s="11">
        <v>0</v>
      </c>
      <c r="CW159" s="8">
        <v>81.101466232538229</v>
      </c>
      <c r="CX159" s="8">
        <v>0</v>
      </c>
      <c r="CY159" s="8">
        <v>0</v>
      </c>
      <c r="FH159">
        <v>2011</v>
      </c>
      <c r="FI159" s="66">
        <v>8</v>
      </c>
      <c r="FJ159" s="8">
        <v>922.22605943679753</v>
      </c>
      <c r="FK159" s="8">
        <v>0</v>
      </c>
      <c r="FL159" s="8">
        <v>0</v>
      </c>
      <c r="FM159" s="8">
        <v>0</v>
      </c>
    </row>
    <row r="160" spans="25:174" x14ac:dyDescent="0.25">
      <c r="Y160">
        <v>2011</v>
      </c>
      <c r="Z160">
        <v>8</v>
      </c>
      <c r="AA160" s="8">
        <v>20589.952342119068</v>
      </c>
      <c r="AB160" s="8">
        <v>0</v>
      </c>
      <c r="AC160" s="8">
        <v>0</v>
      </c>
      <c r="AD160" s="11">
        <v>79.456101700663709</v>
      </c>
      <c r="CR160">
        <v>2011</v>
      </c>
      <c r="CS160">
        <v>8</v>
      </c>
      <c r="CT160" s="11">
        <v>869.89006614685059</v>
      </c>
      <c r="CU160" s="11">
        <v>0</v>
      </c>
      <c r="CV160" s="11">
        <v>0</v>
      </c>
      <c r="CW160" s="8">
        <v>129.9598148234189</v>
      </c>
      <c r="CX160" s="8">
        <v>6.7656609475612814</v>
      </c>
      <c r="CY160" s="8">
        <v>0</v>
      </c>
      <c r="FH160">
        <v>2011</v>
      </c>
      <c r="FI160" s="66">
        <v>9</v>
      </c>
      <c r="FJ160" s="8">
        <v>1097.695163726806</v>
      </c>
      <c r="FK160" s="8">
        <v>0</v>
      </c>
      <c r="FL160" s="8">
        <v>0</v>
      </c>
      <c r="FM160" s="8">
        <v>0</v>
      </c>
    </row>
    <row r="161" spans="25:174" x14ac:dyDescent="0.25">
      <c r="Y161">
        <v>2011</v>
      </c>
      <c r="Z161">
        <v>9</v>
      </c>
      <c r="AA161" s="8">
        <v>26168.451848357923</v>
      </c>
      <c r="AB161" s="8">
        <v>0</v>
      </c>
      <c r="AC161" s="8">
        <v>0</v>
      </c>
      <c r="AD161" s="11">
        <v>76.893001645803594</v>
      </c>
      <c r="CR161">
        <v>2011</v>
      </c>
      <c r="CS161">
        <v>9</v>
      </c>
      <c r="CT161" s="11">
        <v>1017.9900083541868</v>
      </c>
      <c r="CU161" s="11">
        <v>0</v>
      </c>
      <c r="CV161" s="11">
        <v>0</v>
      </c>
      <c r="CW161" s="8">
        <v>909.96643851846511</v>
      </c>
      <c r="CX161" s="8">
        <v>4.8770074367523204</v>
      </c>
      <c r="CY161" s="8">
        <v>0</v>
      </c>
      <c r="FH161">
        <v>2011</v>
      </c>
      <c r="FI161" s="66">
        <v>10</v>
      </c>
      <c r="FJ161" s="8">
        <v>1.2083356976509099</v>
      </c>
      <c r="FK161" s="8">
        <v>1259.767639160156</v>
      </c>
      <c r="FL161" s="8">
        <v>0</v>
      </c>
      <c r="FM161" s="8">
        <v>4168.3999999999996</v>
      </c>
    </row>
    <row r="162" spans="25:174" x14ac:dyDescent="0.25">
      <c r="Y162">
        <v>2011</v>
      </c>
      <c r="Z162">
        <v>10</v>
      </c>
      <c r="AA162" s="8">
        <v>769.49327754974365</v>
      </c>
      <c r="AB162" s="8">
        <v>0</v>
      </c>
      <c r="AC162" s="8">
        <v>0</v>
      </c>
      <c r="AD162" s="11">
        <v>79.456101700663709</v>
      </c>
      <c r="AF162">
        <f>Y162</f>
        <v>2011</v>
      </c>
      <c r="AG162" s="8">
        <f>SUM(AA159:AA163)</f>
        <v>62136.600147303201</v>
      </c>
      <c r="AH162" s="8">
        <f>SUM(AB159:AB163)</f>
        <v>5530.5031929016131</v>
      </c>
      <c r="AI162" s="8">
        <f>SUM(AC151:AC162)</f>
        <v>5695.1415023803711</v>
      </c>
      <c r="AJ162" s="8">
        <f>AG162+AH162</f>
        <v>67667.10334020482</v>
      </c>
      <c r="CR162">
        <v>2011</v>
      </c>
      <c r="CS162">
        <v>10</v>
      </c>
      <c r="CT162" s="11">
        <v>0</v>
      </c>
      <c r="CU162" s="11">
        <v>0</v>
      </c>
      <c r="CV162" s="11">
        <v>0</v>
      </c>
      <c r="CW162" s="8">
        <v>24.68897255361081</v>
      </c>
      <c r="CX162" s="8">
        <v>225.65696643888379</v>
      </c>
      <c r="CY162" s="8">
        <v>0</v>
      </c>
      <c r="CZ162">
        <f>CR162</f>
        <v>2011</v>
      </c>
      <c r="DA162" s="8">
        <f>SUM(CT159:CT167)+SUM(CW159:CW167)</f>
        <v>4180.371726743062</v>
      </c>
      <c r="DB162" s="8">
        <f>SUM(CU152:CU163)+SUM(CX152:CX163)</f>
        <v>3767.978732650583</v>
      </c>
      <c r="DC162" s="8">
        <f>SUM(CV152:CV163)+SUM(CY152:CY163)</f>
        <v>3220.6158691406254</v>
      </c>
      <c r="FH162">
        <v>2011</v>
      </c>
      <c r="FI162" s="66">
        <v>11</v>
      </c>
      <c r="FJ162" s="8">
        <v>2798.2287135124216</v>
      </c>
      <c r="FK162" s="8">
        <v>480.90625762939419</v>
      </c>
      <c r="FL162" s="8">
        <v>7950.370361328125</v>
      </c>
      <c r="FM162" s="8">
        <v>10.548999999999999</v>
      </c>
      <c r="FN162">
        <f>FH162</f>
        <v>2011</v>
      </c>
      <c r="FO162" s="8">
        <f>SUM(FJ158:FJ166)</f>
        <v>5846.0408204197884</v>
      </c>
      <c r="FP162" s="8">
        <f>SUM(FK150:FK161)</f>
        <v>8481.5216827392596</v>
      </c>
      <c r="FQ162" s="8">
        <f>SUM(FL150:FL161)</f>
        <v>222.7578125</v>
      </c>
      <c r="FR162" s="8">
        <f>SUM(FM150:FM161)</f>
        <v>13302.724</v>
      </c>
    </row>
    <row r="163" spans="25:174" x14ac:dyDescent="0.25">
      <c r="Y163">
        <v>2011</v>
      </c>
      <c r="Z163">
        <v>11</v>
      </c>
      <c r="AA163" s="8">
        <v>1725.0373692512514</v>
      </c>
      <c r="AB163" s="8">
        <v>5530.5031929016131</v>
      </c>
      <c r="AC163" s="8">
        <v>54788.915794372544</v>
      </c>
      <c r="AD163" s="11">
        <v>76.893001645803594</v>
      </c>
      <c r="AG163" s="8">
        <f>SUM(AA159:AA166)</f>
        <v>76093.460153218359</v>
      </c>
      <c r="AH163" s="8">
        <f>SUM(AB159:AB166)</f>
        <v>33420.907275319099</v>
      </c>
      <c r="AI163" s="8">
        <f>SUM(AC151:AC162)</f>
        <v>5695.1415023803711</v>
      </c>
      <c r="CR163">
        <v>2011</v>
      </c>
      <c r="CS163">
        <v>11</v>
      </c>
      <c r="CT163" s="11">
        <v>36.187465310096748</v>
      </c>
      <c r="CU163" s="11">
        <v>312.11068725585937</v>
      </c>
      <c r="CV163" s="11">
        <v>825.79382324218795</v>
      </c>
      <c r="CW163" s="8">
        <v>396.26954332210596</v>
      </c>
      <c r="CX163" s="8">
        <v>1774.2671025244524</v>
      </c>
      <c r="CY163" s="8">
        <v>1887.6787353515626</v>
      </c>
      <c r="DA163" s="8">
        <f>SUM(CT159:CT166)</f>
        <v>2610.9644228219986</v>
      </c>
      <c r="DB163" s="8">
        <f>SUM(CU159:CU166)</f>
        <v>958.21270751953136</v>
      </c>
      <c r="DC163" s="8">
        <f>SUM(CV151:CV162)</f>
        <v>507.143310546875</v>
      </c>
      <c r="FH163">
        <v>2011</v>
      </c>
      <c r="FI163" s="66">
        <v>12</v>
      </c>
      <c r="FJ163" s="8">
        <v>618.40097045898415</v>
      </c>
      <c r="FK163" s="8">
        <v>5728.8255615234393</v>
      </c>
      <c r="FL163" s="8">
        <v>192.775390625</v>
      </c>
      <c r="FM163" s="8">
        <v>3476.8</v>
      </c>
    </row>
    <row r="164" spans="25:174" x14ac:dyDescent="0.25">
      <c r="Y164">
        <v>2011</v>
      </c>
      <c r="Z164">
        <v>12</v>
      </c>
      <c r="AA164" s="8">
        <v>2075.0297622680655</v>
      </c>
      <c r="AB164" s="8">
        <v>14636.087233424187</v>
      </c>
      <c r="AC164" s="8">
        <v>2345.397949218755</v>
      </c>
      <c r="AD164" s="11">
        <v>79.456101700663709</v>
      </c>
      <c r="CR164">
        <v>2011</v>
      </c>
      <c r="CS164">
        <v>12</v>
      </c>
      <c r="CT164" s="11">
        <v>0</v>
      </c>
      <c r="CU164" s="11">
        <v>633.92492675781261</v>
      </c>
      <c r="CV164" s="11">
        <v>0</v>
      </c>
      <c r="CW164" s="8">
        <v>5.47499895095825E-2</v>
      </c>
      <c r="CX164" s="8">
        <v>2052.4419790862135</v>
      </c>
      <c r="CY164" s="8">
        <v>16.493896484375</v>
      </c>
      <c r="FH164">
        <v>2012</v>
      </c>
      <c r="FI164" s="66">
        <v>1</v>
      </c>
      <c r="FJ164" s="8">
        <v>0</v>
      </c>
      <c r="FK164" s="8">
        <v>2525.712158203125</v>
      </c>
      <c r="FL164" s="8">
        <v>0</v>
      </c>
      <c r="FM164" s="8">
        <v>2030.8</v>
      </c>
    </row>
    <row r="165" spans="25:174" x14ac:dyDescent="0.25">
      <c r="Y165">
        <v>2012</v>
      </c>
      <c r="Z165">
        <v>1</v>
      </c>
      <c r="AA165" s="8">
        <v>11792.065167963505</v>
      </c>
      <c r="AB165" s="8">
        <v>1281.106224119663</v>
      </c>
      <c r="AC165" s="8">
        <v>0</v>
      </c>
      <c r="AD165" s="11">
        <v>79.456101700663709</v>
      </c>
      <c r="CR165">
        <v>2012</v>
      </c>
      <c r="CS165">
        <v>1</v>
      </c>
      <c r="CT165" s="11">
        <v>0</v>
      </c>
      <c r="CU165" s="11">
        <v>0</v>
      </c>
      <c r="CV165" s="11">
        <v>0</v>
      </c>
      <c r="CW165" s="8">
        <v>1.7024962179362753</v>
      </c>
      <c r="CX165" s="8">
        <v>82.406761944293962</v>
      </c>
      <c r="CY165" s="8">
        <v>46.23486328125</v>
      </c>
      <c r="FH165">
        <v>2012</v>
      </c>
      <c r="FI165" s="66">
        <v>2</v>
      </c>
      <c r="FJ165" s="8">
        <v>0</v>
      </c>
      <c r="FK165" s="8">
        <v>450.4453125</v>
      </c>
      <c r="FL165" s="8">
        <v>942.623046875</v>
      </c>
      <c r="FM165" s="8">
        <v>1942</v>
      </c>
    </row>
    <row r="166" spans="25:174" x14ac:dyDescent="0.25">
      <c r="Y166">
        <v>2012</v>
      </c>
      <c r="Z166">
        <v>2</v>
      </c>
      <c r="AA166" s="8">
        <v>89.765075683593807</v>
      </c>
      <c r="AB166" s="8">
        <v>11973.21062487364</v>
      </c>
      <c r="AC166" s="8">
        <v>6344.9497985839889</v>
      </c>
      <c r="AD166" s="11">
        <v>74.329901590943479</v>
      </c>
      <c r="CR166">
        <v>2012</v>
      </c>
      <c r="CS166">
        <v>2</v>
      </c>
      <c r="CT166" s="11">
        <v>0</v>
      </c>
      <c r="CU166" s="11">
        <v>12.1770935058594</v>
      </c>
      <c r="CV166" s="11">
        <v>0</v>
      </c>
      <c r="CW166" s="8">
        <v>0</v>
      </c>
      <c r="CX166" s="8">
        <v>127.48577158451081</v>
      </c>
      <c r="CY166" s="8">
        <v>16.007910156250002</v>
      </c>
      <c r="FH166">
        <v>2012</v>
      </c>
      <c r="FI166" s="66">
        <v>3</v>
      </c>
      <c r="FJ166" s="8">
        <v>0</v>
      </c>
      <c r="FK166" s="8">
        <v>422.10950088500982</v>
      </c>
      <c r="FL166" s="8">
        <v>0</v>
      </c>
      <c r="FM166" s="8">
        <v>877.43</v>
      </c>
    </row>
    <row r="167" spans="25:174" x14ac:dyDescent="0.25">
      <c r="Y167">
        <v>2012</v>
      </c>
      <c r="Z167">
        <v>3</v>
      </c>
      <c r="AA167" s="8">
        <v>2239.122314453125</v>
      </c>
      <c r="AB167" s="8">
        <v>12650.653851818292</v>
      </c>
      <c r="AC167" s="8">
        <v>0</v>
      </c>
      <c r="AD167" s="11">
        <v>79.456101700663709</v>
      </c>
      <c r="CR167">
        <v>2012</v>
      </c>
      <c r="CS167">
        <v>3</v>
      </c>
      <c r="CT167" s="11">
        <v>0</v>
      </c>
      <c r="CU167" s="11">
        <v>559.91949462890648</v>
      </c>
      <c r="CV167" s="11">
        <v>0</v>
      </c>
      <c r="CW167" s="8">
        <v>25.66382226347924</v>
      </c>
      <c r="CX167" s="8">
        <v>15.189965454774224</v>
      </c>
      <c r="CY167" s="8">
        <v>0</v>
      </c>
      <c r="FH167">
        <v>2012</v>
      </c>
      <c r="FI167" s="66">
        <v>4</v>
      </c>
      <c r="FJ167" s="8">
        <v>0</v>
      </c>
      <c r="FK167" s="8">
        <v>0</v>
      </c>
      <c r="FL167" s="8">
        <v>0</v>
      </c>
      <c r="FM167" s="8">
        <v>73.183999999999997</v>
      </c>
    </row>
    <row r="168" spans="25:174" x14ac:dyDescent="0.25">
      <c r="Y168">
        <v>2012</v>
      </c>
      <c r="Z168">
        <v>4</v>
      </c>
      <c r="AA168" s="8">
        <v>2287.1451530456552</v>
      </c>
      <c r="AB168" s="8">
        <v>0</v>
      </c>
      <c r="AC168" s="8">
        <v>0</v>
      </c>
      <c r="AD168" s="11">
        <v>76.893001645803594</v>
      </c>
      <c r="CR168">
        <v>2012</v>
      </c>
      <c r="CS168">
        <v>4</v>
      </c>
      <c r="CT168" s="11">
        <v>0</v>
      </c>
      <c r="CU168" s="11">
        <v>0</v>
      </c>
      <c r="CV168" s="11">
        <v>0</v>
      </c>
      <c r="CW168" s="8">
        <v>1.543977117165924</v>
      </c>
      <c r="CX168" s="8">
        <v>0</v>
      </c>
      <c r="CY168" s="8">
        <v>0</v>
      </c>
      <c r="FH168">
        <v>2012</v>
      </c>
      <c r="FI168" s="66">
        <v>5</v>
      </c>
      <c r="FJ168" s="8">
        <v>0</v>
      </c>
      <c r="FK168" s="8">
        <v>0</v>
      </c>
      <c r="FL168" s="8">
        <v>0</v>
      </c>
      <c r="FM168" s="8">
        <v>6.1266999999999996</v>
      </c>
    </row>
    <row r="169" spans="25:174" x14ac:dyDescent="0.25">
      <c r="Y169">
        <v>2012</v>
      </c>
      <c r="Z169">
        <v>5</v>
      </c>
      <c r="AA169" s="8">
        <v>37.284400939941399</v>
      </c>
      <c r="AB169" s="8">
        <v>0</v>
      </c>
      <c r="AC169" s="8">
        <v>0</v>
      </c>
      <c r="AD169" s="11">
        <v>79.456101700663709</v>
      </c>
      <c r="CR169">
        <v>2012</v>
      </c>
      <c r="CS169">
        <v>5</v>
      </c>
      <c r="CT169" s="11">
        <v>0</v>
      </c>
      <c r="CU169" s="11">
        <v>0</v>
      </c>
      <c r="CV169" s="11">
        <v>0</v>
      </c>
      <c r="CW169" s="8">
        <v>1.1198806911706924</v>
      </c>
      <c r="CX169" s="8">
        <v>6.0795082858647103</v>
      </c>
      <c r="CY169" s="8">
        <v>0</v>
      </c>
      <c r="FH169">
        <v>2012</v>
      </c>
      <c r="FI169" s="66">
        <v>6</v>
      </c>
      <c r="FJ169" s="8">
        <v>0</v>
      </c>
      <c r="FK169" s="8">
        <v>0</v>
      </c>
      <c r="FL169" s="8">
        <v>0</v>
      </c>
      <c r="FM169" s="8">
        <v>34.396000000000001</v>
      </c>
    </row>
    <row r="170" spans="25:174" x14ac:dyDescent="0.25">
      <c r="Y170">
        <v>2012</v>
      </c>
      <c r="Z170">
        <v>6</v>
      </c>
      <c r="AA170" s="8">
        <v>0</v>
      </c>
      <c r="AB170" s="8">
        <v>945.28648471832309</v>
      </c>
      <c r="AC170" s="8">
        <v>0</v>
      </c>
      <c r="AD170" s="11">
        <v>76.893001645803594</v>
      </c>
      <c r="CR170">
        <v>2012</v>
      </c>
      <c r="CS170">
        <v>6</v>
      </c>
      <c r="CT170" s="11">
        <v>0</v>
      </c>
      <c r="CU170" s="11">
        <v>187.62908935546901</v>
      </c>
      <c r="CV170" s="11">
        <v>0</v>
      </c>
      <c r="CW170" s="8">
        <v>0.76862144470214855</v>
      </c>
      <c r="CX170" s="8">
        <v>22.74935910941565</v>
      </c>
      <c r="CY170" s="8">
        <v>0</v>
      </c>
      <c r="FH170">
        <v>2012</v>
      </c>
      <c r="FI170" s="66">
        <v>7</v>
      </c>
      <c r="FJ170" s="8">
        <v>0</v>
      </c>
      <c r="FK170" s="8">
        <v>2549.4039916992187</v>
      </c>
      <c r="FL170" s="8">
        <v>737.87939453125</v>
      </c>
      <c r="FM170" s="8">
        <v>3049.7</v>
      </c>
    </row>
    <row r="171" spans="25:174" x14ac:dyDescent="0.25">
      <c r="Y171">
        <v>2012</v>
      </c>
      <c r="Z171">
        <v>7</v>
      </c>
      <c r="AA171" s="8">
        <v>377.19837188720697</v>
      </c>
      <c r="AB171" s="8">
        <v>10660.014741897581</v>
      </c>
      <c r="AC171" s="8">
        <v>13859.762348175049</v>
      </c>
      <c r="AD171" s="11">
        <v>79.456101700663709</v>
      </c>
      <c r="CR171">
        <v>2012</v>
      </c>
      <c r="CS171">
        <v>7</v>
      </c>
      <c r="CT171" s="11">
        <v>0</v>
      </c>
      <c r="CU171" s="11">
        <v>643.64996337890591</v>
      </c>
      <c r="CV171" s="11">
        <v>623.19323730468795</v>
      </c>
      <c r="CW171" s="8">
        <v>0.38410636484622962</v>
      </c>
      <c r="CX171" s="8">
        <v>1023.768535555905</v>
      </c>
      <c r="CY171" s="8">
        <v>182.37457275390651</v>
      </c>
      <c r="FH171">
        <v>2012</v>
      </c>
      <c r="FI171" s="66">
        <v>8</v>
      </c>
      <c r="FJ171" s="8">
        <v>0</v>
      </c>
      <c r="FK171" s="8">
        <v>163.529296875</v>
      </c>
      <c r="FL171" s="8">
        <v>0</v>
      </c>
      <c r="FM171" s="8">
        <v>1206.5</v>
      </c>
    </row>
    <row r="172" spans="25:174" x14ac:dyDescent="0.25">
      <c r="Y172">
        <v>2012</v>
      </c>
      <c r="Z172">
        <v>8</v>
      </c>
      <c r="AA172" s="8">
        <v>2631.5443458557129</v>
      </c>
      <c r="AB172" s="8">
        <v>0</v>
      </c>
      <c r="AC172" s="8">
        <v>0</v>
      </c>
      <c r="AD172" s="11">
        <v>79.456101700663709</v>
      </c>
      <c r="CR172">
        <v>2012</v>
      </c>
      <c r="CS172">
        <v>8</v>
      </c>
      <c r="CT172" s="11">
        <v>0</v>
      </c>
      <c r="CU172" s="11">
        <v>0</v>
      </c>
      <c r="CV172" s="11">
        <v>0</v>
      </c>
      <c r="CW172" s="8">
        <v>1.038090568780899</v>
      </c>
      <c r="CX172" s="8">
        <v>9.587510728836067</v>
      </c>
      <c r="CY172" s="8">
        <v>0</v>
      </c>
      <c r="FH172">
        <v>2012</v>
      </c>
      <c r="FI172" s="66">
        <v>9</v>
      </c>
      <c r="FJ172" s="8">
        <v>0</v>
      </c>
      <c r="FK172" s="8">
        <v>0</v>
      </c>
      <c r="FL172" s="8">
        <v>0</v>
      </c>
      <c r="FM172" s="8">
        <v>108.35</v>
      </c>
    </row>
    <row r="173" spans="25:174" x14ac:dyDescent="0.25">
      <c r="Y173">
        <v>2012</v>
      </c>
      <c r="Z173">
        <v>9</v>
      </c>
      <c r="AA173" s="8">
        <v>20354.100851595402</v>
      </c>
      <c r="AB173" s="8">
        <v>0</v>
      </c>
      <c r="AC173" s="8">
        <v>0</v>
      </c>
      <c r="AD173" s="11">
        <v>76.893001645803594</v>
      </c>
      <c r="CR173">
        <v>2012</v>
      </c>
      <c r="CS173">
        <v>9</v>
      </c>
      <c r="CT173" s="11">
        <v>781.09807682037365</v>
      </c>
      <c r="CU173" s="11">
        <v>0</v>
      </c>
      <c r="CV173" s="11">
        <v>0</v>
      </c>
      <c r="CW173" s="8">
        <v>36.014831975102432</v>
      </c>
      <c r="CX173" s="8">
        <v>0</v>
      </c>
      <c r="CY173" s="8">
        <v>0</v>
      </c>
      <c r="FH173">
        <v>2012</v>
      </c>
      <c r="FI173" s="66">
        <v>10</v>
      </c>
      <c r="FJ173" s="8">
        <v>0</v>
      </c>
      <c r="FK173" s="8">
        <v>0</v>
      </c>
      <c r="FL173" s="8">
        <v>0</v>
      </c>
      <c r="FM173" s="8">
        <v>158.96</v>
      </c>
    </row>
    <row r="174" spans="25:174" x14ac:dyDescent="0.25">
      <c r="Y174">
        <v>2012</v>
      </c>
      <c r="Z174">
        <v>10</v>
      </c>
      <c r="AA174" s="8">
        <v>667.67971727624558</v>
      </c>
      <c r="AB174" s="8">
        <v>0</v>
      </c>
      <c r="AC174" s="8">
        <v>0</v>
      </c>
      <c r="AD174" s="11">
        <v>79.456101700663709</v>
      </c>
      <c r="AF174">
        <f>Y174</f>
        <v>2012</v>
      </c>
      <c r="AG174" s="8">
        <f>SUM(AA171:AA175)</f>
        <v>42197.41046712175</v>
      </c>
      <c r="AH174" s="8">
        <f>SUM(AB171:AB175)</f>
        <v>10660.014741897581</v>
      </c>
      <c r="AI174" s="8">
        <f>SUM(AC163:AC174)</f>
        <v>77339.025890350342</v>
      </c>
      <c r="AJ174" s="8">
        <f>AG174+AH174</f>
        <v>52857.425209019333</v>
      </c>
      <c r="CR174">
        <v>2012</v>
      </c>
      <c r="CS174">
        <v>10</v>
      </c>
      <c r="CT174" s="11">
        <v>0</v>
      </c>
      <c r="CU174" s="11">
        <v>0</v>
      </c>
      <c r="CV174" s="11">
        <v>0</v>
      </c>
      <c r="CW174" s="8">
        <v>59.493280298297783</v>
      </c>
      <c r="CX174" s="8">
        <v>0</v>
      </c>
      <c r="CY174" s="8">
        <v>0</v>
      </c>
      <c r="CZ174">
        <f>CR174</f>
        <v>2012</v>
      </c>
      <c r="DA174" s="8">
        <f>SUM(CT171:CT179)+SUM(CW171:CW179)</f>
        <v>19301.630135324576</v>
      </c>
      <c r="DB174" s="8">
        <f>SUM(CU164:CU175)+SUM(CX164:CX175)</f>
        <v>5377.0099593767682</v>
      </c>
      <c r="DC174" s="8">
        <f>SUM(CV164:CV175)+SUM(CY164:CY175)</f>
        <v>884.30447998046952</v>
      </c>
      <c r="FH174">
        <v>2012</v>
      </c>
      <c r="FI174" s="66">
        <v>11</v>
      </c>
      <c r="FJ174" s="8">
        <v>871.66362920403424</v>
      </c>
      <c r="FK174" s="8">
        <v>0</v>
      </c>
      <c r="FL174" s="8">
        <v>0</v>
      </c>
      <c r="FM174" s="8">
        <v>127.73</v>
      </c>
      <c r="FN174">
        <f>FH174</f>
        <v>2012</v>
      </c>
      <c r="FO174" s="8">
        <f>SUM(FJ170:FJ178)</f>
        <v>17267.026354461912</v>
      </c>
      <c r="FP174" s="8">
        <f>SUM(FK162:FK173)</f>
        <v>12320.932079315187</v>
      </c>
      <c r="FQ174" s="8">
        <f>SUM(FL162:FL173)</f>
        <v>9823.648193359375</v>
      </c>
      <c r="FR174" s="8">
        <f>SUM(FM162:FM173)</f>
        <v>12974.795700000001</v>
      </c>
    </row>
    <row r="175" spans="25:174" x14ac:dyDescent="0.25">
      <c r="Y175">
        <v>2012</v>
      </c>
      <c r="Z175">
        <v>11</v>
      </c>
      <c r="AA175" s="8">
        <v>18166.887180507183</v>
      </c>
      <c r="AB175" s="8">
        <v>0</v>
      </c>
      <c r="AC175" s="8">
        <v>0</v>
      </c>
      <c r="AD175" s="11">
        <v>76.893001645803594</v>
      </c>
      <c r="AG175" s="8">
        <f>SUM(AA171:AA178)</f>
        <v>209873.64854118598</v>
      </c>
      <c r="AH175" s="8">
        <f>SUM(AB171:AB178)</f>
        <v>29989.58543160557</v>
      </c>
      <c r="AI175" s="8">
        <f>SUM(AC163:AC174)</f>
        <v>77339.025890350342</v>
      </c>
      <c r="CR175">
        <v>2012</v>
      </c>
      <c r="CS175">
        <v>11</v>
      </c>
      <c r="CT175" s="11">
        <v>695.05093383789142</v>
      </c>
      <c r="CU175" s="11">
        <v>0</v>
      </c>
      <c r="CV175" s="11">
        <v>0</v>
      </c>
      <c r="CW175" s="8">
        <v>1715.437328970432</v>
      </c>
      <c r="CX175" s="8">
        <v>0</v>
      </c>
      <c r="CY175" s="8">
        <v>0</v>
      </c>
      <c r="DA175" s="8">
        <f>SUM(CT171:CT178)</f>
        <v>6840.4833631515585</v>
      </c>
      <c r="DB175" s="8">
        <f>SUM(CU171:CU178)</f>
        <v>1066.6406478881834</v>
      </c>
      <c r="DC175" s="8">
        <f>SUM(CV163:CV174)</f>
        <v>1448.9870605468759</v>
      </c>
      <c r="FH175">
        <v>2012</v>
      </c>
      <c r="FI175" s="66">
        <v>12</v>
      </c>
      <c r="FJ175" s="8">
        <v>5899.1390953063965</v>
      </c>
      <c r="FK175" s="8">
        <v>0</v>
      </c>
      <c r="FL175" s="8">
        <v>0</v>
      </c>
      <c r="FM175" s="8">
        <v>193.76</v>
      </c>
    </row>
    <row r="176" spans="25:174" x14ac:dyDescent="0.25">
      <c r="Y176">
        <v>2012</v>
      </c>
      <c r="Z176">
        <v>12</v>
      </c>
      <c r="AA176" s="8">
        <v>80646.216118097276</v>
      </c>
      <c r="AB176" s="8">
        <v>0</v>
      </c>
      <c r="AC176" s="8">
        <v>0</v>
      </c>
      <c r="AD176" s="11">
        <v>79.456101700663709</v>
      </c>
      <c r="CR176">
        <v>2012</v>
      </c>
      <c r="CS176">
        <v>12</v>
      </c>
      <c r="CT176" s="11">
        <v>1668.9187231063847</v>
      </c>
      <c r="CU176" s="11">
        <v>0</v>
      </c>
      <c r="CV176" s="11">
        <v>0</v>
      </c>
      <c r="CW176" s="8">
        <v>3855.2995712383936</v>
      </c>
      <c r="CX176" s="8">
        <v>212.67975433468803</v>
      </c>
      <c r="CY176" s="8">
        <v>0</v>
      </c>
      <c r="FH176">
        <v>2013</v>
      </c>
      <c r="FI176" s="66">
        <v>1</v>
      </c>
      <c r="FJ176" s="8">
        <v>7776.6884641647375</v>
      </c>
      <c r="FK176" s="8">
        <v>0</v>
      </c>
      <c r="FL176" s="8">
        <v>0</v>
      </c>
      <c r="FM176" s="8">
        <v>1968.8</v>
      </c>
    </row>
    <row r="177" spans="25:174" x14ac:dyDescent="0.25">
      <c r="Y177">
        <v>2013</v>
      </c>
      <c r="Z177">
        <v>1</v>
      </c>
      <c r="AA177" s="8">
        <v>85446.83332824707</v>
      </c>
      <c r="AB177" s="8">
        <v>6279.0678037703092</v>
      </c>
      <c r="AC177" s="8">
        <v>14313.35400390625</v>
      </c>
      <c r="AD177" s="11">
        <v>79.456101700663709</v>
      </c>
      <c r="CR177">
        <v>2013</v>
      </c>
      <c r="CS177">
        <v>1</v>
      </c>
      <c r="CT177" s="11">
        <v>3695.4156293869087</v>
      </c>
      <c r="CU177" s="11">
        <v>281.5754852294923</v>
      </c>
      <c r="CV177" s="11">
        <v>1730.52221679688</v>
      </c>
      <c r="CW177" s="8">
        <v>6543.1046230494976</v>
      </c>
      <c r="CX177" s="8">
        <v>710.74834766034041</v>
      </c>
      <c r="CY177" s="8">
        <v>5.3484252929687504</v>
      </c>
      <c r="FH177">
        <v>2013</v>
      </c>
      <c r="FI177" s="66">
        <v>2</v>
      </c>
      <c r="FJ177" s="8">
        <v>2553.3138523101807</v>
      </c>
      <c r="FK177" s="8">
        <v>6473.6306762695303</v>
      </c>
      <c r="FL177" s="8">
        <v>9054.763427734375</v>
      </c>
      <c r="FM177" s="8">
        <v>5833.1</v>
      </c>
    </row>
    <row r="178" spans="25:174" x14ac:dyDescent="0.25">
      <c r="Y178">
        <v>2013</v>
      </c>
      <c r="Z178">
        <v>2</v>
      </c>
      <c r="AA178" s="8">
        <v>1583.1886277198801</v>
      </c>
      <c r="AB178" s="8">
        <v>13050.502885937678</v>
      </c>
      <c r="AC178" s="8">
        <v>10201.246658325195</v>
      </c>
      <c r="AD178" s="11">
        <v>71.766801536083364</v>
      </c>
      <c r="CR178">
        <v>2013</v>
      </c>
      <c r="CS178">
        <v>2</v>
      </c>
      <c r="CT178" s="11">
        <v>0</v>
      </c>
      <c r="CU178" s="11">
        <v>141.41519927978518</v>
      </c>
      <c r="CV178" s="11">
        <v>0</v>
      </c>
      <c r="CW178" s="8">
        <v>229.59864063262933</v>
      </c>
      <c r="CX178" s="8">
        <v>445.86953747272486</v>
      </c>
      <c r="CY178" s="8">
        <v>0</v>
      </c>
      <c r="FH178">
        <v>2013</v>
      </c>
      <c r="FI178" s="66">
        <v>3</v>
      </c>
      <c r="FJ178" s="8">
        <v>166.22131347656261</v>
      </c>
      <c r="FK178" s="8">
        <v>2869.8239421844487</v>
      </c>
      <c r="FL178" s="8">
        <v>686.74755859375</v>
      </c>
      <c r="FM178" s="8">
        <v>1939</v>
      </c>
    </row>
    <row r="179" spans="25:174" x14ac:dyDescent="0.25">
      <c r="Y179">
        <v>2013</v>
      </c>
      <c r="Z179">
        <v>3</v>
      </c>
      <c r="AA179" s="8">
        <v>3062.4598484039325</v>
      </c>
      <c r="AB179" s="8">
        <v>16255.48311042786</v>
      </c>
      <c r="AC179" s="8">
        <v>0</v>
      </c>
      <c r="AD179" s="11">
        <v>79.456101700663709</v>
      </c>
      <c r="CR179">
        <v>2013</v>
      </c>
      <c r="CS179">
        <v>3</v>
      </c>
      <c r="CT179" s="11">
        <v>0</v>
      </c>
      <c r="CU179" s="11">
        <v>29.6029052734375</v>
      </c>
      <c r="CV179" s="11">
        <v>0</v>
      </c>
      <c r="CW179" s="8">
        <v>20.776299075037251</v>
      </c>
      <c r="CX179" s="8">
        <v>958.02178198071169</v>
      </c>
      <c r="CY179" s="8">
        <v>0</v>
      </c>
      <c r="FH179">
        <v>2013</v>
      </c>
      <c r="FI179" s="66">
        <v>4</v>
      </c>
      <c r="FJ179" s="8">
        <v>0</v>
      </c>
      <c r="FK179" s="8">
        <v>0</v>
      </c>
      <c r="FL179" s="8">
        <v>0</v>
      </c>
      <c r="FM179" s="8">
        <v>520.44000000000005</v>
      </c>
    </row>
    <row r="180" spans="25:174" x14ac:dyDescent="0.25">
      <c r="Y180">
        <v>2013</v>
      </c>
      <c r="Z180">
        <v>4</v>
      </c>
      <c r="AA180" s="8">
        <v>1548.7860269546509</v>
      </c>
      <c r="AB180" s="8">
        <v>0</v>
      </c>
      <c r="AC180" s="8">
        <v>0</v>
      </c>
      <c r="AD180" s="11">
        <v>76.893001645803594</v>
      </c>
      <c r="CR180">
        <v>2013</v>
      </c>
      <c r="CS180">
        <v>4</v>
      </c>
      <c r="CT180" s="11">
        <v>0</v>
      </c>
      <c r="CU180" s="11">
        <v>0</v>
      </c>
      <c r="CV180" s="11">
        <v>0</v>
      </c>
      <c r="CW180" s="8">
        <v>1.8760755360126518</v>
      </c>
      <c r="CX180" s="8">
        <v>0</v>
      </c>
      <c r="CY180" s="8">
        <v>0</v>
      </c>
      <c r="FH180">
        <v>2013</v>
      </c>
      <c r="FI180" s="66">
        <v>5</v>
      </c>
      <c r="FJ180" s="8">
        <v>0</v>
      </c>
      <c r="FK180" s="8">
        <v>0</v>
      </c>
      <c r="FL180" s="8">
        <v>0</v>
      </c>
      <c r="FM180" s="8">
        <v>0</v>
      </c>
    </row>
    <row r="181" spans="25:174" x14ac:dyDescent="0.25">
      <c r="Y181">
        <v>2013</v>
      </c>
      <c r="Z181">
        <v>5</v>
      </c>
      <c r="AA181" s="8">
        <v>725.17264568805649</v>
      </c>
      <c r="AB181" s="8">
        <v>0</v>
      </c>
      <c r="AC181" s="8">
        <v>0</v>
      </c>
      <c r="AD181" s="11">
        <v>79.456101700663709</v>
      </c>
      <c r="CR181">
        <v>2013</v>
      </c>
      <c r="CS181">
        <v>5</v>
      </c>
      <c r="CT181" s="11">
        <v>0</v>
      </c>
      <c r="CU181" s="11">
        <v>0</v>
      </c>
      <c r="CV181" s="11">
        <v>0</v>
      </c>
      <c r="CW181" s="8">
        <v>1.7341141432523746</v>
      </c>
      <c r="CX181" s="8">
        <v>0</v>
      </c>
      <c r="CY181" s="8">
        <v>0</v>
      </c>
      <c r="FH181">
        <v>2013</v>
      </c>
      <c r="FI181" s="66">
        <v>6</v>
      </c>
      <c r="FJ181" s="8">
        <v>0</v>
      </c>
      <c r="FK181" s="8">
        <v>0</v>
      </c>
      <c r="FL181" s="8">
        <v>0</v>
      </c>
      <c r="FM181" s="8">
        <v>1.3174999999999999</v>
      </c>
    </row>
    <row r="182" spans="25:174" x14ac:dyDescent="0.25">
      <c r="Y182">
        <v>2013</v>
      </c>
      <c r="Z182">
        <v>6</v>
      </c>
      <c r="AA182" s="8">
        <v>1687.4090421907604</v>
      </c>
      <c r="AB182" s="8">
        <v>0</v>
      </c>
      <c r="AC182" s="8">
        <v>0</v>
      </c>
      <c r="AD182" s="11">
        <v>76.893001645803594</v>
      </c>
      <c r="CR182">
        <v>2013</v>
      </c>
      <c r="CS182">
        <v>6</v>
      </c>
      <c r="CT182" s="11">
        <v>0</v>
      </c>
      <c r="CU182" s="11">
        <v>0</v>
      </c>
      <c r="CV182" s="11">
        <v>0</v>
      </c>
      <c r="CW182" s="8">
        <v>0.66945358440279967</v>
      </c>
      <c r="CX182" s="8">
        <v>15.715888836566592</v>
      </c>
      <c r="CY182" s="8">
        <v>0</v>
      </c>
      <c r="FH182">
        <v>2013</v>
      </c>
      <c r="FI182" s="66">
        <v>7</v>
      </c>
      <c r="FJ182" s="8">
        <v>40.970973968505866</v>
      </c>
      <c r="FK182" s="8">
        <v>0</v>
      </c>
      <c r="FL182" s="8">
        <v>0</v>
      </c>
      <c r="FM182" s="8">
        <v>1338.2</v>
      </c>
    </row>
    <row r="183" spans="25:174" x14ac:dyDescent="0.25">
      <c r="Y183">
        <v>2013</v>
      </c>
      <c r="Z183">
        <v>7</v>
      </c>
      <c r="AA183" s="8">
        <v>9177.6968073844891</v>
      </c>
      <c r="AB183" s="8">
        <v>588.41214227676437</v>
      </c>
      <c r="AC183" s="8">
        <v>0</v>
      </c>
      <c r="AD183" s="11">
        <v>79.456101700663709</v>
      </c>
      <c r="CR183">
        <v>2013</v>
      </c>
      <c r="CS183">
        <v>7</v>
      </c>
      <c r="CT183" s="11">
        <v>0</v>
      </c>
      <c r="CU183" s="11">
        <v>336.3797683715822</v>
      </c>
      <c r="CV183" s="11">
        <v>0</v>
      </c>
      <c r="CW183" s="8">
        <v>3.2665430784225458</v>
      </c>
      <c r="CX183" s="8">
        <v>11.491796620166848</v>
      </c>
      <c r="CY183" s="8">
        <v>0</v>
      </c>
      <c r="FH183">
        <v>2013</v>
      </c>
      <c r="FI183" s="66">
        <v>8</v>
      </c>
      <c r="FJ183" s="8">
        <v>248.31081390380854</v>
      </c>
      <c r="FK183" s="8">
        <v>0</v>
      </c>
      <c r="FL183" s="8">
        <v>0</v>
      </c>
      <c r="FM183" s="8">
        <v>2402.4</v>
      </c>
    </row>
    <row r="184" spans="25:174" x14ac:dyDescent="0.25">
      <c r="Y184">
        <v>2013</v>
      </c>
      <c r="Z184">
        <v>8</v>
      </c>
      <c r="AA184" s="8">
        <v>10052.064382433893</v>
      </c>
      <c r="AB184" s="8">
        <v>0</v>
      </c>
      <c r="AC184" s="8">
        <v>0</v>
      </c>
      <c r="AD184" s="11">
        <v>79.456101700663709</v>
      </c>
      <c r="CR184">
        <v>2013</v>
      </c>
      <c r="CS184">
        <v>8</v>
      </c>
      <c r="CT184" s="11">
        <v>0</v>
      </c>
      <c r="CU184" s="11">
        <v>0</v>
      </c>
      <c r="CV184" s="11">
        <v>0</v>
      </c>
      <c r="CW184" s="8">
        <v>41.026289835572243</v>
      </c>
      <c r="CX184" s="8">
        <v>0</v>
      </c>
      <c r="CY184" s="8">
        <v>0</v>
      </c>
      <c r="FH184">
        <v>2013</v>
      </c>
      <c r="FI184" s="66">
        <v>9</v>
      </c>
      <c r="FJ184" s="8">
        <v>804.68862783908867</v>
      </c>
      <c r="FK184" s="8">
        <v>0</v>
      </c>
      <c r="FL184" s="8">
        <v>0</v>
      </c>
      <c r="FM184" s="8">
        <v>0</v>
      </c>
    </row>
    <row r="185" spans="25:174" x14ac:dyDescent="0.25">
      <c r="Y185">
        <v>2013</v>
      </c>
      <c r="Z185">
        <v>9</v>
      </c>
      <c r="AA185" s="8">
        <v>26890.447026282563</v>
      </c>
      <c r="AB185" s="8">
        <v>0</v>
      </c>
      <c r="AC185" s="8">
        <v>0</v>
      </c>
      <c r="AD185" s="11">
        <v>76.893001645803594</v>
      </c>
      <c r="CR185">
        <v>2013</v>
      </c>
      <c r="CS185">
        <v>9</v>
      </c>
      <c r="CT185" s="11">
        <v>1444.7015554904935</v>
      </c>
      <c r="CU185" s="11">
        <v>0</v>
      </c>
      <c r="CV185" s="11">
        <v>0</v>
      </c>
      <c r="CW185" s="8">
        <v>1184.5625449916349</v>
      </c>
      <c r="CX185" s="8">
        <v>46.890380886197107</v>
      </c>
      <c r="CY185" s="8">
        <v>0</v>
      </c>
      <c r="FH185">
        <v>2013</v>
      </c>
      <c r="FI185" s="66">
        <v>10</v>
      </c>
      <c r="FJ185" s="8">
        <v>522.50157243013393</v>
      </c>
      <c r="FK185" s="8">
        <v>0</v>
      </c>
      <c r="FL185" s="8">
        <v>0</v>
      </c>
      <c r="FM185" s="8">
        <v>132.29</v>
      </c>
    </row>
    <row r="186" spans="25:174" x14ac:dyDescent="0.25">
      <c r="Y186">
        <v>2013</v>
      </c>
      <c r="Z186">
        <v>10</v>
      </c>
      <c r="AA186" s="8">
        <v>5776.741281963421</v>
      </c>
      <c r="AB186" s="8">
        <v>0</v>
      </c>
      <c r="AC186" s="8">
        <v>0</v>
      </c>
      <c r="AD186" s="11">
        <v>79.456101700663709</v>
      </c>
      <c r="AF186">
        <f>Y186</f>
        <v>2013</v>
      </c>
      <c r="AG186" s="8">
        <f>SUM(AA183:AA187)</f>
        <v>77861.226407803144</v>
      </c>
      <c r="AH186" s="8">
        <f>SUM(AB183:AB187)</f>
        <v>5593.591249942785</v>
      </c>
      <c r="AI186" s="8">
        <f>SUM(AC175:AC186)</f>
        <v>24514.600662231445</v>
      </c>
      <c r="AJ186" s="8">
        <f>AG186+AH186</f>
        <v>83454.817657745923</v>
      </c>
      <c r="CR186">
        <v>2013</v>
      </c>
      <c r="CS186">
        <v>10</v>
      </c>
      <c r="CT186" s="11">
        <v>106.51523590087899</v>
      </c>
      <c r="CU186" s="11">
        <v>0</v>
      </c>
      <c r="CV186" s="11">
        <v>0</v>
      </c>
      <c r="CW186" s="8">
        <v>500.02384315580133</v>
      </c>
      <c r="CX186" s="8">
        <v>0</v>
      </c>
      <c r="CY186" s="8">
        <v>0</v>
      </c>
      <c r="CZ186">
        <f>CR186</f>
        <v>2013</v>
      </c>
      <c r="DA186" s="8">
        <f>SUM(CT183:CT191)+SUM(CW183:CW191)</f>
        <v>24893.499012588705</v>
      </c>
      <c r="DB186" s="8">
        <f>SUM(CU176:CU187)+SUM(CX176:CX187)</f>
        <v>3611.4804052146437</v>
      </c>
      <c r="DC186" s="8">
        <f>SUM(CV176:CV187)+SUM(CY176:CY187)</f>
        <v>1735.8706420898488</v>
      </c>
      <c r="FH186">
        <v>2013</v>
      </c>
      <c r="FI186" s="66">
        <v>11</v>
      </c>
      <c r="FJ186" s="8">
        <v>2615.6763251423827</v>
      </c>
      <c r="FK186" s="8">
        <v>0</v>
      </c>
      <c r="FL186" s="8">
        <v>0</v>
      </c>
      <c r="FM186" s="8">
        <v>0</v>
      </c>
      <c r="FN186">
        <f>FH186</f>
        <v>2013</v>
      </c>
      <c r="FO186" s="8">
        <f>SUM(FJ182:FJ190)</f>
        <v>6243.2475784812123</v>
      </c>
      <c r="FP186" s="8">
        <f>SUM(FK174:FK185)</f>
        <v>9343.4546184539795</v>
      </c>
      <c r="FQ186" s="8">
        <f>SUM(FL174:FL185)</f>
        <v>9741.510986328125</v>
      </c>
      <c r="FR186" s="8">
        <f>SUM(FM174:FM185)</f>
        <v>14457.0375</v>
      </c>
    </row>
    <row r="187" spans="25:174" x14ac:dyDescent="0.25">
      <c r="Y187">
        <v>2013</v>
      </c>
      <c r="Z187">
        <v>11</v>
      </c>
      <c r="AA187" s="8">
        <v>25964.276909738775</v>
      </c>
      <c r="AB187" s="8">
        <v>5005.1791076660202</v>
      </c>
      <c r="AC187" s="8">
        <v>0</v>
      </c>
      <c r="AD187" s="11">
        <v>76.893001645803594</v>
      </c>
      <c r="AG187" s="8">
        <f>SUM(AA183:AA190)</f>
        <v>176093.09383420603</v>
      </c>
      <c r="AH187" s="8">
        <f>SUM(AB183:AB190)</f>
        <v>7381.9186019897516</v>
      </c>
      <c r="AI187" s="8">
        <f>SUM(AC175:AC186)</f>
        <v>24514.600662231445</v>
      </c>
      <c r="CR187">
        <v>2013</v>
      </c>
      <c r="CS187">
        <v>11</v>
      </c>
      <c r="CT187" s="11">
        <v>957.47316455841076</v>
      </c>
      <c r="CU187" s="11">
        <v>392.876708984375</v>
      </c>
      <c r="CV187" s="11">
        <v>0</v>
      </c>
      <c r="CW187" s="8">
        <v>2375.0532258391381</v>
      </c>
      <c r="CX187" s="8">
        <v>28.21285028457643</v>
      </c>
      <c r="CY187" s="8">
        <v>0</v>
      </c>
      <c r="DA187" s="8">
        <f>SUM(CT183:CT190)</f>
        <v>8894.9591553211139</v>
      </c>
      <c r="DB187" s="8">
        <f>SUM(CU183:CU190)</f>
        <v>729.25647735595726</v>
      </c>
      <c r="DC187" s="8">
        <f>SUM(CV175:CV186)</f>
        <v>1730.52221679688</v>
      </c>
      <c r="FH187">
        <v>2013</v>
      </c>
      <c r="FI187" s="66">
        <v>12</v>
      </c>
      <c r="FJ187" s="8">
        <v>1441.3145633134995</v>
      </c>
      <c r="FK187" s="8">
        <v>1463.5942687988284</v>
      </c>
      <c r="FL187" s="8">
        <v>0</v>
      </c>
      <c r="FM187" s="8">
        <v>726.48</v>
      </c>
    </row>
    <row r="188" spans="25:174" x14ac:dyDescent="0.25">
      <c r="Y188">
        <v>2013</v>
      </c>
      <c r="Z188">
        <v>12</v>
      </c>
      <c r="AA188" s="8">
        <v>39900.182443305865</v>
      </c>
      <c r="AB188" s="8">
        <v>1788.3273520469661</v>
      </c>
      <c r="AC188" s="8">
        <v>0</v>
      </c>
      <c r="AD188" s="11">
        <v>64.876604648342067</v>
      </c>
      <c r="CR188">
        <v>2013</v>
      </c>
      <c r="CS188">
        <v>12</v>
      </c>
      <c r="CT188" s="11">
        <v>787.60006237030041</v>
      </c>
      <c r="CU188" s="11">
        <v>0</v>
      </c>
      <c r="CV188" s="11">
        <v>0</v>
      </c>
      <c r="CW188" s="8">
        <v>3823.9374587595471</v>
      </c>
      <c r="CX188" s="8">
        <v>0</v>
      </c>
      <c r="CY188" s="8">
        <v>0</v>
      </c>
      <c r="FH188">
        <v>2014</v>
      </c>
      <c r="FI188" s="66">
        <v>1</v>
      </c>
      <c r="FJ188" s="8">
        <v>0</v>
      </c>
      <c r="FK188" s="8">
        <v>0</v>
      </c>
      <c r="FL188" s="8">
        <v>0</v>
      </c>
      <c r="FM188" s="8">
        <v>373.5</v>
      </c>
    </row>
    <row r="189" spans="25:174" x14ac:dyDescent="0.25">
      <c r="Y189">
        <v>2014</v>
      </c>
      <c r="Z189">
        <v>1</v>
      </c>
      <c r="AA189" s="8">
        <v>29467.65024185181</v>
      </c>
      <c r="AB189" s="8">
        <v>0</v>
      </c>
      <c r="AC189" s="8">
        <v>0</v>
      </c>
      <c r="AD189" s="11">
        <v>58.873702233458857</v>
      </c>
      <c r="CR189">
        <v>2014</v>
      </c>
      <c r="CS189">
        <v>1</v>
      </c>
      <c r="CT189" s="11">
        <v>4241.1931428909238</v>
      </c>
      <c r="CU189" s="11">
        <v>0</v>
      </c>
      <c r="CV189" s="11">
        <v>0</v>
      </c>
      <c r="CW189" s="8">
        <v>5376.6618344306953</v>
      </c>
      <c r="CX189" s="8">
        <v>0</v>
      </c>
      <c r="CY189" s="8">
        <v>0</v>
      </c>
      <c r="FH189">
        <v>2014</v>
      </c>
      <c r="FI189" s="66">
        <v>2</v>
      </c>
      <c r="FJ189" s="8">
        <v>0</v>
      </c>
      <c r="FK189" s="8">
        <v>0</v>
      </c>
      <c r="FL189" s="8">
        <v>0</v>
      </c>
      <c r="FM189" s="8">
        <v>309.22000000000003</v>
      </c>
    </row>
    <row r="190" spans="25:174" x14ac:dyDescent="0.25">
      <c r="Y190">
        <v>2014</v>
      </c>
      <c r="Z190">
        <v>2</v>
      </c>
      <c r="AA190" s="8">
        <v>28864.034741245207</v>
      </c>
      <c r="AB190" s="8">
        <v>0</v>
      </c>
      <c r="AC190" s="8">
        <v>0</v>
      </c>
      <c r="AD190" s="11">
        <v>53.955579888042138</v>
      </c>
      <c r="CR190">
        <v>2014</v>
      </c>
      <c r="CS190">
        <v>2</v>
      </c>
      <c r="CT190" s="11">
        <v>1357.4759941101072</v>
      </c>
      <c r="CU190" s="11">
        <v>0</v>
      </c>
      <c r="CV190" s="11">
        <v>0</v>
      </c>
      <c r="CW190" s="8">
        <v>1664.72228477914</v>
      </c>
      <c r="CX190" s="8">
        <v>0</v>
      </c>
      <c r="CY190" s="8">
        <v>0</v>
      </c>
      <c r="FH190">
        <v>2014</v>
      </c>
      <c r="FI190" s="66">
        <v>3</v>
      </c>
      <c r="FJ190" s="8">
        <v>569.78470188379276</v>
      </c>
      <c r="FK190" s="8">
        <v>0</v>
      </c>
      <c r="FL190" s="8">
        <v>0</v>
      </c>
      <c r="FM190" s="8">
        <v>0</v>
      </c>
    </row>
    <row r="191" spans="25:174" x14ac:dyDescent="0.25">
      <c r="Y191">
        <v>2014</v>
      </c>
      <c r="Z191">
        <v>3</v>
      </c>
      <c r="AA191" s="8">
        <v>24830.267217915563</v>
      </c>
      <c r="AB191" s="8">
        <v>1855.0560016632057</v>
      </c>
      <c r="AC191" s="8">
        <v>0</v>
      </c>
      <c r="AD191" s="11">
        <v>71.229521384599437</v>
      </c>
      <c r="CR191">
        <v>2014</v>
      </c>
      <c r="CS191">
        <v>3</v>
      </c>
      <c r="CT191" s="11">
        <v>614.02046203613293</v>
      </c>
      <c r="CU191" s="11">
        <v>112.16900634765631</v>
      </c>
      <c r="CV191" s="11">
        <v>0</v>
      </c>
      <c r="CW191" s="8">
        <v>415.26537036150688</v>
      </c>
      <c r="CX191" s="8">
        <v>260.87942713797082</v>
      </c>
      <c r="CY191" s="8">
        <v>0</v>
      </c>
      <c r="FH191">
        <v>2014</v>
      </c>
      <c r="FI191" s="66">
        <v>4</v>
      </c>
      <c r="FJ191" s="8">
        <v>2204.5266036987305</v>
      </c>
      <c r="FK191" s="8">
        <v>159.93172454833959</v>
      </c>
      <c r="FL191" s="8">
        <v>0</v>
      </c>
      <c r="FM191" s="8">
        <v>1718.1</v>
      </c>
    </row>
    <row r="192" spans="25:174" x14ac:dyDescent="0.25">
      <c r="Y192">
        <v>2014</v>
      </c>
      <c r="Z192">
        <v>4</v>
      </c>
      <c r="AA192" s="8">
        <v>789.98863029479992</v>
      </c>
      <c r="AB192" s="8">
        <v>1121.7271089553833</v>
      </c>
      <c r="AC192" s="8">
        <v>0</v>
      </c>
      <c r="AD192" s="11">
        <v>76.893001645803594</v>
      </c>
      <c r="CR192">
        <v>2014</v>
      </c>
      <c r="CS192">
        <v>4</v>
      </c>
      <c r="CT192" s="11">
        <v>0</v>
      </c>
      <c r="CU192" s="11">
        <v>298.832763671875</v>
      </c>
      <c r="CV192" s="11">
        <v>0</v>
      </c>
      <c r="CW192" s="8">
        <v>1.8910878665745259</v>
      </c>
      <c r="CX192" s="8">
        <v>44.162333345413209</v>
      </c>
      <c r="CY192" s="8">
        <v>0</v>
      </c>
      <c r="FH192">
        <v>2014</v>
      </c>
      <c r="FI192" s="66">
        <v>5</v>
      </c>
      <c r="FJ192" s="8">
        <v>479.45022702217091</v>
      </c>
      <c r="FK192" s="8">
        <v>0</v>
      </c>
      <c r="FL192" s="8">
        <v>0</v>
      </c>
      <c r="FM192" s="8">
        <v>0</v>
      </c>
    </row>
    <row r="193" spans="25:169" x14ac:dyDescent="0.25">
      <c r="Y193">
        <v>2014</v>
      </c>
      <c r="Z193">
        <v>5</v>
      </c>
      <c r="AA193" s="8">
        <v>82.523726463317786</v>
      </c>
      <c r="AB193" s="8">
        <v>0</v>
      </c>
      <c r="AC193" s="8">
        <v>0</v>
      </c>
      <c r="AD193" s="11">
        <v>79.456101700663709</v>
      </c>
      <c r="CR193">
        <v>2014</v>
      </c>
      <c r="CS193">
        <v>5</v>
      </c>
      <c r="CT193" s="11">
        <v>0</v>
      </c>
      <c r="CU193" s="11">
        <v>0</v>
      </c>
      <c r="CV193" s="11">
        <v>0</v>
      </c>
      <c r="CW193" s="8">
        <v>0.70042779445648229</v>
      </c>
      <c r="CX193" s="8">
        <v>0</v>
      </c>
      <c r="CY193" s="8">
        <v>0</v>
      </c>
      <c r="FH193">
        <v>2014</v>
      </c>
      <c r="FI193" s="66">
        <v>6</v>
      </c>
      <c r="FJ193" s="8">
        <v>628.45403194427558</v>
      </c>
      <c r="FK193" s="8">
        <v>0</v>
      </c>
      <c r="FL193" s="8">
        <v>0</v>
      </c>
      <c r="FM193" s="8">
        <v>0</v>
      </c>
    </row>
    <row r="194" spans="25:169" x14ac:dyDescent="0.25">
      <c r="Y194">
        <v>2014</v>
      </c>
      <c r="Z194">
        <v>6</v>
      </c>
      <c r="AA194" s="8">
        <v>5.8743457794189426</v>
      </c>
      <c r="AB194" s="8">
        <v>0</v>
      </c>
      <c r="AC194" s="8">
        <v>0</v>
      </c>
      <c r="AD194" s="11">
        <v>76.893001645803594</v>
      </c>
      <c r="CR194">
        <v>2014</v>
      </c>
      <c r="CS194">
        <v>6</v>
      </c>
      <c r="CT194" s="11">
        <v>0</v>
      </c>
      <c r="CU194" s="11">
        <v>0</v>
      </c>
      <c r="CV194" s="11">
        <v>0</v>
      </c>
      <c r="CW194" s="8">
        <v>0</v>
      </c>
      <c r="CX194" s="8">
        <v>0</v>
      </c>
      <c r="CY194" s="8">
        <v>0</v>
      </c>
    </row>
    <row r="195" spans="25:169" x14ac:dyDescent="0.25">
      <c r="AA195" s="15"/>
      <c r="AB195" s="15"/>
      <c r="AC195" s="15"/>
      <c r="AD195" s="15"/>
    </row>
    <row r="196" spans="25:169" x14ac:dyDescent="0.25">
      <c r="AA196" s="11"/>
      <c r="AB196" s="1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199"/>
  <sheetViews>
    <sheetView topLeftCell="DX3" workbookViewId="0">
      <selection activeCell="BQ24" sqref="BQ24"/>
    </sheetView>
  </sheetViews>
  <sheetFormatPr defaultRowHeight="15" x14ac:dyDescent="0.25"/>
  <cols>
    <col min="36" max="36" width="11" bestFit="1" customWidth="1"/>
    <col min="37" max="37" width="12" bestFit="1" customWidth="1"/>
    <col min="40" max="40" width="11" bestFit="1" customWidth="1"/>
    <col min="41" max="41" width="12" bestFit="1" customWidth="1"/>
    <col min="42" max="43" width="9.28515625" bestFit="1" customWidth="1"/>
    <col min="69" max="69" width="8.85546875" customWidth="1"/>
    <col min="75" max="75" width="11" bestFit="1" customWidth="1"/>
    <col min="76" max="77" width="12" bestFit="1" customWidth="1"/>
    <col min="78" max="78" width="12" customWidth="1"/>
    <col min="98" max="98" width="11" bestFit="1" customWidth="1"/>
    <col min="99" max="99" width="12" bestFit="1" customWidth="1"/>
    <col min="103" max="103" width="11" bestFit="1" customWidth="1"/>
    <col min="104" max="104" width="10" bestFit="1" customWidth="1"/>
    <col min="105" max="106" width="9.28515625" bestFit="1" customWidth="1"/>
    <col min="109" max="110" width="11" bestFit="1" customWidth="1"/>
    <col min="111" max="113" width="9.28515625" bestFit="1" customWidth="1"/>
    <col min="115" max="115" width="11" bestFit="1" customWidth="1"/>
    <col min="116" max="116" width="12" bestFit="1" customWidth="1"/>
    <col min="117" max="119" width="9.28515625" bestFit="1" customWidth="1"/>
    <col min="135" max="136" width="11" bestFit="1" customWidth="1"/>
    <col min="137" max="138" width="9.28515625" bestFit="1" customWidth="1"/>
  </cols>
  <sheetData>
    <row r="1" spans="1:142" x14ac:dyDescent="0.25">
      <c r="A1" s="23" t="s">
        <v>565</v>
      </c>
      <c r="S1" t="s">
        <v>250</v>
      </c>
      <c r="T1" t="s">
        <v>251</v>
      </c>
      <c r="U1" t="s">
        <v>144</v>
      </c>
      <c r="V1" t="s">
        <v>423</v>
      </c>
      <c r="W1" t="s">
        <v>424</v>
      </c>
      <c r="X1" t="s">
        <v>425</v>
      </c>
      <c r="Y1" t="s">
        <v>426</v>
      </c>
      <c r="Z1" t="s">
        <v>427</v>
      </c>
      <c r="AA1" t="s">
        <v>428</v>
      </c>
      <c r="AI1" t="s">
        <v>43</v>
      </c>
      <c r="AJ1" t="s">
        <v>439</v>
      </c>
      <c r="AK1" t="s">
        <v>438</v>
      </c>
      <c r="AL1" t="s">
        <v>443</v>
      </c>
      <c r="AM1" t="s">
        <v>444</v>
      </c>
      <c r="AN1" t="s">
        <v>43</v>
      </c>
      <c r="AO1" s="71" t="s">
        <v>70</v>
      </c>
      <c r="AP1" t="s">
        <v>441</v>
      </c>
      <c r="AQ1" t="s">
        <v>442</v>
      </c>
      <c r="AR1" t="s">
        <v>446</v>
      </c>
      <c r="BG1" t="s">
        <v>250</v>
      </c>
      <c r="BH1" t="s">
        <v>251</v>
      </c>
      <c r="BI1" t="s">
        <v>144</v>
      </c>
      <c r="BJ1" t="s">
        <v>423</v>
      </c>
      <c r="BK1" t="s">
        <v>426</v>
      </c>
      <c r="BL1" t="s">
        <v>427</v>
      </c>
      <c r="BM1" t="s">
        <v>428</v>
      </c>
      <c r="BN1" t="s">
        <v>553</v>
      </c>
      <c r="BO1" t="s">
        <v>425</v>
      </c>
      <c r="BW1" t="s">
        <v>153</v>
      </c>
      <c r="BX1" t="s">
        <v>515</v>
      </c>
      <c r="BY1" t="s">
        <v>514</v>
      </c>
      <c r="BZ1" t="str">
        <f t="shared" ref="BZ1:BZ11" si="0">AM1</f>
        <v>7 mo prior to plant</v>
      </c>
      <c r="CA1" t="str">
        <f>AL1</f>
        <v>in-crop yr before</v>
      </c>
      <c r="CC1" t="str">
        <f>AN1</f>
        <v>Plant in</v>
      </c>
      <c r="CD1" t="str">
        <f>AO1</f>
        <v>Ha</v>
      </c>
      <c r="CE1" t="s">
        <v>516</v>
      </c>
      <c r="CF1" t="s">
        <v>517</v>
      </c>
      <c r="CJ1" t="s">
        <v>525</v>
      </c>
      <c r="CL1">
        <v>9</v>
      </c>
      <c r="CM1" t="s">
        <v>376</v>
      </c>
      <c r="CT1" t="s">
        <v>528</v>
      </c>
      <c r="CU1" t="s">
        <v>527</v>
      </c>
      <c r="CV1" t="s">
        <v>444</v>
      </c>
      <c r="CW1" t="s">
        <v>529</v>
      </c>
      <c r="CX1" t="s">
        <v>571</v>
      </c>
      <c r="CY1" t="s">
        <v>43</v>
      </c>
      <c r="CZ1" t="s">
        <v>70</v>
      </c>
      <c r="DA1" t="s">
        <v>322</v>
      </c>
      <c r="DB1" t="s">
        <v>323</v>
      </c>
      <c r="DC1" t="s">
        <v>327</v>
      </c>
      <c r="DD1" t="s">
        <v>329</v>
      </c>
      <c r="DE1" t="s">
        <v>552</v>
      </c>
      <c r="EE1" t="s">
        <v>528</v>
      </c>
      <c r="EF1" t="s">
        <v>527</v>
      </c>
      <c r="EG1" t="s">
        <v>529</v>
      </c>
      <c r="EH1" t="s">
        <v>569</v>
      </c>
      <c r="EJ1" t="s">
        <v>43</v>
      </c>
      <c r="EK1" t="s">
        <v>288</v>
      </c>
      <c r="EL1" t="s">
        <v>349</v>
      </c>
    </row>
    <row r="2" spans="1:142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123</v>
      </c>
      <c r="O2" s="2" t="s">
        <v>531</v>
      </c>
      <c r="P2" s="2" t="s">
        <v>440</v>
      </c>
      <c r="Q2" s="2" t="s">
        <v>174</v>
      </c>
      <c r="R2" s="56">
        <v>35796</v>
      </c>
      <c r="S2" s="8">
        <v>12025.176723480226</v>
      </c>
      <c r="T2" s="8">
        <v>54.367366790771499</v>
      </c>
      <c r="U2" s="8">
        <v>0</v>
      </c>
      <c r="V2" s="8">
        <v>1.733244299888608</v>
      </c>
      <c r="W2" s="8">
        <v>39.16916651278742</v>
      </c>
      <c r="X2" s="8">
        <v>0</v>
      </c>
      <c r="Y2" s="8">
        <v>17886.834305763245</v>
      </c>
      <c r="Z2" s="8">
        <v>0</v>
      </c>
      <c r="AA2" s="8">
        <v>0</v>
      </c>
      <c r="AI2" s="56">
        <f>AB24</f>
        <v>36465</v>
      </c>
      <c r="AJ2" s="8">
        <f>AC24</f>
        <v>8070.1945954798684</v>
      </c>
      <c r="AK2" s="8">
        <f t="shared" ref="AK2" si="1">AD24</f>
        <v>122982.05448173358</v>
      </c>
      <c r="AL2" s="8">
        <f>P3-$P$21</f>
        <v>86.105188891961376</v>
      </c>
      <c r="AM2" s="11">
        <f>O3-$O$21</f>
        <v>80.081631715650332</v>
      </c>
      <c r="AN2" s="56">
        <v>36465</v>
      </c>
      <c r="AO2" s="8">
        <v>21600</v>
      </c>
      <c r="AP2" s="8">
        <f t="shared" ref="AP2:AP11" si="2">($AK$22*AJ2)+($AJ$22*AK2)</f>
        <v>15967.617778925138</v>
      </c>
      <c r="AQ2" s="8">
        <f t="shared" ref="AQ2:AQ11" si="3">($AL$28*AJ2)+($AK$28*AK2)+($AJ$28*AL2)</f>
        <v>18227.327654069253</v>
      </c>
      <c r="AR2" s="8">
        <f t="shared" ref="AR2:AR11" si="4">($AQ$22*AJ2)+($AP$22*AK2)+($AO$22*AL2)+($AN$22*AM2)</f>
        <v>22516.024061937387</v>
      </c>
      <c r="BF2" s="56">
        <v>35796</v>
      </c>
      <c r="BG2" s="8">
        <v>12025.176723480226</v>
      </c>
      <c r="BH2" s="8">
        <v>54.367366790771499</v>
      </c>
      <c r="BI2" s="8">
        <v>0</v>
      </c>
      <c r="BJ2" s="8">
        <v>1.733244299888608</v>
      </c>
      <c r="BK2" s="8">
        <v>16862.900259494781</v>
      </c>
      <c r="BL2" s="8">
        <v>0</v>
      </c>
      <c r="BM2" s="8">
        <v>0</v>
      </c>
      <c r="BN2" s="8">
        <v>36.087118398398218</v>
      </c>
      <c r="BO2" s="8">
        <v>0</v>
      </c>
      <c r="BV2" s="56">
        <f>BP24</f>
        <v>36465</v>
      </c>
      <c r="BW2" s="8">
        <f t="shared" ref="BW2:BX2" si="5">BQ24</f>
        <v>8070.1945954798684</v>
      </c>
      <c r="BX2" s="8">
        <f t="shared" si="5"/>
        <v>123504.78536938503</v>
      </c>
      <c r="BY2" s="8">
        <f>BS24</f>
        <v>6016.0014038085947</v>
      </c>
      <c r="BZ2" s="20">
        <f t="shared" si="0"/>
        <v>80.081631715650332</v>
      </c>
      <c r="CA2" s="20">
        <f t="shared" ref="CA2:CA11" si="6">AL2</f>
        <v>86.105188891961376</v>
      </c>
      <c r="CC2" s="56">
        <v>36465</v>
      </c>
      <c r="CD2" s="8">
        <f t="shared" ref="CD2:CD11" si="7">AO2</f>
        <v>21600</v>
      </c>
      <c r="CF2" t="s">
        <v>43</v>
      </c>
      <c r="CG2" t="s">
        <v>518</v>
      </c>
      <c r="CH2" t="s">
        <v>174</v>
      </c>
      <c r="CI2" t="s">
        <v>519</v>
      </c>
      <c r="CJ2" t="s">
        <v>520</v>
      </c>
      <c r="CK2" t="s">
        <v>521</v>
      </c>
      <c r="CL2" t="s">
        <v>522</v>
      </c>
      <c r="CM2" t="s">
        <v>526</v>
      </c>
      <c r="CN2" t="s">
        <v>523</v>
      </c>
      <c r="CO2" t="s">
        <v>479</v>
      </c>
      <c r="CP2" t="s">
        <v>524</v>
      </c>
      <c r="CQ2" t="s">
        <v>527</v>
      </c>
      <c r="CS2" s="56">
        <v>36465</v>
      </c>
      <c r="CT2" s="8">
        <f>BW2</f>
        <v>8070.1945954798684</v>
      </c>
      <c r="CU2" s="8">
        <f>CQ4</f>
        <v>209520.78677319363</v>
      </c>
      <c r="CV2" s="20">
        <f>BZ2</f>
        <v>80.081631715650332</v>
      </c>
      <c r="CW2" s="20">
        <f>CA2</f>
        <v>86.105188891961376</v>
      </c>
      <c r="CX2">
        <v>0</v>
      </c>
      <c r="CY2" s="56">
        <v>36465</v>
      </c>
      <c r="CZ2" s="8">
        <f>CD2</f>
        <v>21600</v>
      </c>
      <c r="DA2" s="8">
        <f t="shared" ref="DA2:DA11" si="8">($CU$19*CT2)+($CT$19*CU2)</f>
        <v>18274.237538279704</v>
      </c>
      <c r="DB2" s="8">
        <f t="shared" ref="DB2:DB11" si="9">($CV$25*CT2)+($CU$25*CU2)+($CT$25*CV2)</f>
        <v>21495.70165744537</v>
      </c>
      <c r="DC2" s="8">
        <f>($DB$19*CT2)+($DA$19*CU2)+($CZ$19*CV2)+($CY$19*CW2)</f>
        <v>24355.783926665492</v>
      </c>
      <c r="DD2" s="8">
        <f>($DI$19*CT2)+($DH$19*CU2)+($DG$19*CV2)+($DF$19*CW2)+($DE$19*CX2)</f>
        <v>22715.410090573689</v>
      </c>
      <c r="DE2" s="8">
        <f>($DO$19*CT2)+($DN$19*CU2)+($DM$19*CV2)+($DL$19*CW2)+($DK$19*CX2)</f>
        <v>20683.656785983119</v>
      </c>
      <c r="ED2" s="56">
        <v>36465</v>
      </c>
      <c r="EE2" s="8">
        <f>CT2</f>
        <v>8070.1945954798684</v>
      </c>
      <c r="EF2" s="8">
        <f t="shared" ref="EF2" si="10">CU2</f>
        <v>209520.78677319363</v>
      </c>
      <c r="EG2" s="8">
        <f>CW2</f>
        <v>86.105188891961376</v>
      </c>
      <c r="EH2" s="8">
        <f>CX2</f>
        <v>0</v>
      </c>
      <c r="EJ2" s="56">
        <v>36465</v>
      </c>
      <c r="EK2" s="8">
        <f t="shared" ref="EK2:EK16" si="11">CZ2</f>
        <v>21600</v>
      </c>
      <c r="EL2" s="8">
        <f>($EH$19*EE2)+($EG$19*EF2)+($EF$19*EG2)+($EE$19*EH2)</f>
        <v>18406.147148679651</v>
      </c>
    </row>
    <row r="3" spans="1:142" x14ac:dyDescent="0.25">
      <c r="A3" s="38">
        <v>1999</v>
      </c>
      <c r="B3" s="11">
        <v>115.09056631124244</v>
      </c>
      <c r="C3" s="11">
        <v>52.454716934348049</v>
      </c>
      <c r="D3" s="11">
        <v>108.08443400544941</v>
      </c>
      <c r="E3" s="11">
        <v>24.866509482545673</v>
      </c>
      <c r="F3" s="11">
        <v>10.208962257178325</v>
      </c>
      <c r="G3" s="11">
        <v>50.184905753945408</v>
      </c>
      <c r="H3" s="11">
        <v>39.646226361112774</v>
      </c>
      <c r="I3" s="11">
        <v>28.16839621202001</v>
      </c>
      <c r="J3" s="11">
        <v>37.471698158192183</v>
      </c>
      <c r="K3" s="11">
        <v>81.276886922008586</v>
      </c>
      <c r="L3" s="11">
        <v>91.983490350111481</v>
      </c>
      <c r="M3" s="11">
        <v>59.847641531026589</v>
      </c>
      <c r="N3" s="11">
        <v>699.28443427918103</v>
      </c>
      <c r="O3" s="11">
        <f>SUM(E3:K3)</f>
        <v>271.82358514700297</v>
      </c>
      <c r="P3" s="11">
        <f>B3+C3+D3</f>
        <v>275.62971725103989</v>
      </c>
      <c r="Q3" s="11">
        <f>L3+M3+B4+C4+D4</f>
        <v>344.77452807156544</v>
      </c>
      <c r="R3" s="56">
        <v>35827</v>
      </c>
      <c r="S3" s="8">
        <v>8004.3259370326987</v>
      </c>
      <c r="T3" s="8">
        <v>334.04579925537132</v>
      </c>
      <c r="U3" s="8">
        <v>0</v>
      </c>
      <c r="V3" s="8">
        <v>2116.1741104125967</v>
      </c>
      <c r="W3" s="8">
        <v>4327.0729673206824</v>
      </c>
      <c r="X3" s="8">
        <v>0</v>
      </c>
      <c r="Y3" s="8">
        <v>11478.275552749643</v>
      </c>
      <c r="Z3" s="8">
        <v>0</v>
      </c>
      <c r="AA3" s="8">
        <v>0</v>
      </c>
      <c r="AI3" s="56">
        <f>AB36</f>
        <v>36831</v>
      </c>
      <c r="AJ3" s="8">
        <f>AC36</f>
        <v>20921.527683600783</v>
      </c>
      <c r="AK3" s="8">
        <f t="shared" ref="AK3" si="12">AD36</f>
        <v>67569.549224253744</v>
      </c>
      <c r="AL3" s="8">
        <f t="shared" ref="AL3:AL11" si="13">P4-$P$21</f>
        <v>3.4188678313488481</v>
      </c>
      <c r="AM3" s="11">
        <f t="shared" ref="AM3:AM11" si="14">O4-$O$21</f>
        <v>-58.564594840021016</v>
      </c>
      <c r="AN3" s="56">
        <v>36831</v>
      </c>
      <c r="AO3" s="8">
        <v>23093.200000000001</v>
      </c>
      <c r="AP3" s="8">
        <f t="shared" si="2"/>
        <v>18225.947089423247</v>
      </c>
      <c r="AQ3" s="8">
        <f t="shared" si="3"/>
        <v>21187.807465687441</v>
      </c>
      <c r="AR3" s="8">
        <f t="shared" si="4"/>
        <v>22022.936834017368</v>
      </c>
      <c r="BF3" s="56">
        <v>35827</v>
      </c>
      <c r="BG3" s="8">
        <v>8004.3259370326987</v>
      </c>
      <c r="BH3" s="8">
        <v>334.04579925537132</v>
      </c>
      <c r="BI3" s="8">
        <v>0</v>
      </c>
      <c r="BJ3" s="8">
        <v>2116.1741104125967</v>
      </c>
      <c r="BK3" s="8">
        <v>11477.971162796026</v>
      </c>
      <c r="BL3" s="8">
        <v>0</v>
      </c>
      <c r="BM3" s="8">
        <v>0</v>
      </c>
      <c r="BN3" s="8">
        <v>4147.6385132372407</v>
      </c>
      <c r="BO3" s="8">
        <v>0</v>
      </c>
      <c r="BV3" s="56">
        <f>BP36</f>
        <v>36831</v>
      </c>
      <c r="BW3" s="8">
        <f t="shared" ref="BW3:BX3" si="15">BQ36</f>
        <v>19959.428571879864</v>
      </c>
      <c r="BX3" s="8">
        <f t="shared" si="15"/>
        <v>64626.743704266846</v>
      </c>
      <c r="BY3" s="8">
        <f>BS36</f>
        <v>560.06085205078102</v>
      </c>
      <c r="BZ3" s="20">
        <f t="shared" si="0"/>
        <v>-58.564594840021016</v>
      </c>
      <c r="CA3" s="20">
        <f t="shared" si="6"/>
        <v>3.4188678313488481</v>
      </c>
      <c r="CC3" s="56">
        <v>36831</v>
      </c>
      <c r="CD3" s="8">
        <f t="shared" si="7"/>
        <v>23093.200000000001</v>
      </c>
      <c r="CF3" s="56">
        <v>36100</v>
      </c>
      <c r="CP3" s="8">
        <v>80000</v>
      </c>
      <c r="CS3" s="56">
        <v>36831</v>
      </c>
      <c r="CT3" s="8">
        <f t="shared" ref="CT3:CT16" si="16">BW3</f>
        <v>19959.428571879864</v>
      </c>
      <c r="CU3" s="8">
        <f t="shared" ref="CU3:CU16" si="17">CQ5</f>
        <v>134341.86988817889</v>
      </c>
      <c r="CV3" s="20">
        <f t="shared" ref="CV3:CV11" si="18">BZ3</f>
        <v>-58.564594840021016</v>
      </c>
      <c r="CW3" s="20">
        <f t="shared" ref="CW3:CW11" si="19">CA3</f>
        <v>3.4188678313488481</v>
      </c>
      <c r="CX3">
        <v>0</v>
      </c>
      <c r="CY3" s="56">
        <v>36831</v>
      </c>
      <c r="CZ3" s="8">
        <f t="shared" ref="CZ3:CZ16" si="20">CD3</f>
        <v>23093.200000000001</v>
      </c>
      <c r="DA3" s="8">
        <f t="shared" si="8"/>
        <v>16836.688517143451</v>
      </c>
      <c r="DB3" s="8">
        <f t="shared" si="9"/>
        <v>16986.517249438461</v>
      </c>
      <c r="DC3" s="8">
        <f t="shared" ref="DC3:DC11" si="21">($DB$19*CT3)+($DA$19*CU3)+($CZ$19*CV3)+($CY$19*CW3)</f>
        <v>20508.826407373486</v>
      </c>
      <c r="DD3" s="8">
        <f t="shared" ref="DD3:DD11" si="22">($DI$19*CT3)+($DH$19*CU3)+($DG$19*CV3)+($DF$19*CW3)+($DE$19*CX3)</f>
        <v>22546.210593586024</v>
      </c>
      <c r="DE3" s="8">
        <f t="shared" ref="DE3:DE16" si="23">($DO$19*CT3)+($DN$19*CU3)+($DM$19*CV3)+($DL$19*CW3)+($DK$19*CX3)</f>
        <v>18161.949627650076</v>
      </c>
      <c r="ED3" s="56">
        <v>36831</v>
      </c>
      <c r="EE3" s="8">
        <f t="shared" ref="EE3:EE16" si="24">CT3</f>
        <v>19959.428571879864</v>
      </c>
      <c r="EF3" s="8">
        <f t="shared" ref="EF3:EF16" si="25">CU3</f>
        <v>134341.86988817889</v>
      </c>
      <c r="EG3" s="8">
        <f t="shared" ref="EG3:EG16" si="26">CW3</f>
        <v>3.4188678313488481</v>
      </c>
      <c r="EH3" s="8">
        <v>1</v>
      </c>
      <c r="EJ3" s="56">
        <v>36831</v>
      </c>
      <c r="EK3" s="8">
        <f t="shared" si="11"/>
        <v>23093.200000000001</v>
      </c>
      <c r="EL3" s="8">
        <f t="shared" ref="EL3:EL16" si="27">($EH$19*EE3)+($EG$19*EF3)+($EF$19*EG3)+($EE$19*EH3)</f>
        <v>24733.279511644032</v>
      </c>
    </row>
    <row r="4" spans="1:142" x14ac:dyDescent="0.25">
      <c r="A4" s="38">
        <v>2000</v>
      </c>
      <c r="B4" s="11">
        <v>41.120282982880198</v>
      </c>
      <c r="C4" s="11">
        <v>61.51132083388994</v>
      </c>
      <c r="D4" s="11">
        <v>90.311792373657227</v>
      </c>
      <c r="E4" s="11">
        <v>10.08915093934761</v>
      </c>
      <c r="F4" s="11">
        <v>25.127358535550677</v>
      </c>
      <c r="G4" s="11">
        <v>19.362735856254147</v>
      </c>
      <c r="H4" s="11">
        <v>9.2169811388231668</v>
      </c>
      <c r="I4" s="11">
        <v>7.5391509690374701</v>
      </c>
      <c r="J4" s="11">
        <v>4.547641504485652</v>
      </c>
      <c r="K4" s="11">
        <v>57.294339647832906</v>
      </c>
      <c r="L4" s="11">
        <v>162.43443391907891</v>
      </c>
      <c r="M4" s="11">
        <v>23.3787735115807</v>
      </c>
      <c r="N4" s="11">
        <v>511.93396221241852</v>
      </c>
      <c r="O4" s="11">
        <f t="shared" ref="O4:O19" si="28">SUM(E4:K4)</f>
        <v>133.17735859133163</v>
      </c>
      <c r="P4" s="11">
        <f t="shared" ref="P4:P19" si="29">B4+C4+D4</f>
        <v>192.94339619042736</v>
      </c>
      <c r="Q4" s="11">
        <f t="shared" ref="Q4:Q18" si="30">L4+M4+B5+C5+D5</f>
        <v>413.7735849169066</v>
      </c>
      <c r="R4" s="56">
        <v>35855</v>
      </c>
      <c r="S4" s="8">
        <v>3719.8121446975274</v>
      </c>
      <c r="T4" s="8">
        <v>0</v>
      </c>
      <c r="U4" s="8">
        <v>0</v>
      </c>
      <c r="V4" s="8">
        <v>366.180126190186</v>
      </c>
      <c r="W4" s="8">
        <v>382.27880167961149</v>
      </c>
      <c r="X4" s="8">
        <v>0</v>
      </c>
      <c r="Y4" s="8">
        <v>1983.1498508453374</v>
      </c>
      <c r="Z4" s="8">
        <v>0</v>
      </c>
      <c r="AA4" s="8">
        <v>0</v>
      </c>
      <c r="AI4" s="56">
        <f>AB48</f>
        <v>37196</v>
      </c>
      <c r="AJ4" s="8">
        <f>AC48</f>
        <v>11683.485182762148</v>
      </c>
      <c r="AK4" s="8">
        <f t="shared" ref="AK4" si="31">AD48</f>
        <v>267154.97828137688</v>
      </c>
      <c r="AL4" s="8">
        <f t="shared" si="13"/>
        <v>38.435849127168439</v>
      </c>
      <c r="AM4" s="11">
        <f t="shared" si="14"/>
        <v>50.378801210953981</v>
      </c>
      <c r="AN4" s="56">
        <v>37196</v>
      </c>
      <c r="AO4" s="8">
        <v>23600</v>
      </c>
      <c r="AP4" s="8">
        <f t="shared" si="2"/>
        <v>31334.024898080872</v>
      </c>
      <c r="AQ4" s="8">
        <f t="shared" si="3"/>
        <v>30253.675328197765</v>
      </c>
      <c r="AR4" s="8">
        <f t="shared" si="4"/>
        <v>30761.991010049875</v>
      </c>
      <c r="BF4" s="56">
        <v>35855</v>
      </c>
      <c r="BG4" s="8">
        <v>3719.8121446975274</v>
      </c>
      <c r="BH4" s="8">
        <v>0</v>
      </c>
      <c r="BI4" s="8">
        <v>0</v>
      </c>
      <c r="BJ4" s="8">
        <v>366.180126190186</v>
      </c>
      <c r="BK4" s="8">
        <v>1986.7083816528311</v>
      </c>
      <c r="BL4" s="8">
        <v>0</v>
      </c>
      <c r="BM4" s="8">
        <v>0</v>
      </c>
      <c r="BN4" s="8">
        <v>318.17572528123861</v>
      </c>
      <c r="BO4" s="8">
        <v>0</v>
      </c>
      <c r="BV4" s="56">
        <f>BP48</f>
        <v>37196</v>
      </c>
      <c r="BW4" s="8">
        <f t="shared" ref="BW4:BX4" si="32">BQ48</f>
        <v>10601.84208011627</v>
      </c>
      <c r="BX4" s="8">
        <f t="shared" si="32"/>
        <v>259002.65527586083</v>
      </c>
      <c r="BY4" s="8">
        <f>BS48</f>
        <v>12240.66471862793</v>
      </c>
      <c r="BZ4" s="20">
        <f t="shared" si="0"/>
        <v>50.378801210953981</v>
      </c>
      <c r="CA4" s="20">
        <f t="shared" si="6"/>
        <v>38.435849127168439</v>
      </c>
      <c r="CC4" s="56">
        <v>37196</v>
      </c>
      <c r="CD4" s="8">
        <f t="shared" si="7"/>
        <v>23600</v>
      </c>
      <c r="CF4" s="56">
        <v>36465</v>
      </c>
      <c r="CG4" s="8">
        <f>CP3+BX2+BY2+BQ25</f>
        <v>258327.75076805009</v>
      </c>
      <c r="CH4" s="11">
        <f t="shared" ref="CH4:CH13" si="33">Q3</f>
        <v>344.77452807156544</v>
      </c>
      <c r="CI4" s="11">
        <f t="shared" ref="CI4:CI13" si="34">CH4-$Q$21</f>
        <v>24.200530388014727</v>
      </c>
      <c r="CJ4" s="8">
        <f t="shared" ref="CJ4:CJ13" si="35">CD2</f>
        <v>21600</v>
      </c>
      <c r="CK4" s="8">
        <f t="shared" ref="CK4:CK13" si="36">CJ4*$CL$1</f>
        <v>194400</v>
      </c>
      <c r="CL4" s="8">
        <f t="shared" ref="CL4:CL13" si="37">CK4-(CJ4*(CI4/100))</f>
        <v>189172.68543618883</v>
      </c>
      <c r="CM4" s="8">
        <f t="shared" ref="CM4:CM13" si="38">CG4-CL4</f>
        <v>69155.06533186126</v>
      </c>
      <c r="CN4" s="8">
        <f>BR25</f>
        <v>59340.250268504024</v>
      </c>
      <c r="CO4" s="8">
        <f t="shared" ref="CO4:CO13" si="39">CM4+CN4</f>
        <v>128495.31560036528</v>
      </c>
      <c r="CP4" s="8">
        <f>IF(-CM4&gt;CN4,0,CM4)</f>
        <v>69155.06533186126</v>
      </c>
      <c r="CQ4" s="8">
        <f>CP3+BX2+BY2</f>
        <v>209520.78677319363</v>
      </c>
      <c r="CS4" s="56">
        <v>37196</v>
      </c>
      <c r="CT4" s="8">
        <f t="shared" si="16"/>
        <v>10601.84208011627</v>
      </c>
      <c r="CU4" s="8">
        <f t="shared" si="17"/>
        <v>242722.1910747501</v>
      </c>
      <c r="CV4" s="20">
        <f t="shared" si="18"/>
        <v>50.378801210953981</v>
      </c>
      <c r="CW4" s="20">
        <f t="shared" si="19"/>
        <v>38.435849127168439</v>
      </c>
      <c r="CX4">
        <v>0</v>
      </c>
      <c r="CY4" s="56">
        <v>37196</v>
      </c>
      <c r="CZ4" s="8">
        <f t="shared" si="20"/>
        <v>23600</v>
      </c>
      <c r="DA4" s="8">
        <f t="shared" si="8"/>
        <v>21603.843511197432</v>
      </c>
      <c r="DB4" s="8">
        <f t="shared" si="9"/>
        <v>23665.827815853019</v>
      </c>
      <c r="DC4" s="8">
        <f t="shared" si="21"/>
        <v>24738.560341951445</v>
      </c>
      <c r="DD4" s="8">
        <f t="shared" si="22"/>
        <v>22294.490996686232</v>
      </c>
      <c r="DE4" s="8">
        <f t="shared" si="23"/>
        <v>20341.914516640605</v>
      </c>
      <c r="ED4" s="56">
        <v>37196</v>
      </c>
      <c r="EE4" s="8">
        <f t="shared" si="24"/>
        <v>10601.84208011627</v>
      </c>
      <c r="EF4" s="8">
        <f t="shared" si="25"/>
        <v>242722.1910747501</v>
      </c>
      <c r="EG4" s="8">
        <f t="shared" si="26"/>
        <v>38.435849127168439</v>
      </c>
      <c r="EH4" s="8">
        <f t="shared" ref="EH4:EH16" si="40">CX4</f>
        <v>0</v>
      </c>
      <c r="EJ4" s="56">
        <v>37196</v>
      </c>
      <c r="EK4" s="8">
        <f t="shared" si="11"/>
        <v>23600</v>
      </c>
      <c r="EL4" s="8">
        <f t="shared" si="27"/>
        <v>19185.561407087953</v>
      </c>
    </row>
    <row r="5" spans="1:142" x14ac:dyDescent="0.25">
      <c r="A5" s="38">
        <v>2001</v>
      </c>
      <c r="B5" s="11">
        <v>105.72547178448372</v>
      </c>
      <c r="C5" s="11">
        <v>70.132075435710405</v>
      </c>
      <c r="D5" s="11">
        <v>52.10283026605282</v>
      </c>
      <c r="E5" s="11">
        <v>18.20943397620939</v>
      </c>
      <c r="F5" s="11">
        <v>34.53301884993067</v>
      </c>
      <c r="G5" s="11">
        <v>30.153301850804741</v>
      </c>
      <c r="H5" s="11">
        <v>102.57452835226958</v>
      </c>
      <c r="I5" s="11">
        <v>5.6966981213047818</v>
      </c>
      <c r="J5" s="11">
        <v>8.7471698117706005</v>
      </c>
      <c r="K5" s="11">
        <v>42.206603680016862</v>
      </c>
      <c r="L5" s="11">
        <v>66.2683962875942</v>
      </c>
      <c r="M5" s="11">
        <v>31.096226359313388</v>
      </c>
      <c r="N5" s="11">
        <v>567.44575477546118</v>
      </c>
      <c r="O5" s="11">
        <f t="shared" si="28"/>
        <v>242.12075464230662</v>
      </c>
      <c r="P5" s="11">
        <f t="shared" si="29"/>
        <v>227.96037748624695</v>
      </c>
      <c r="Q5" s="11">
        <f t="shared" si="30"/>
        <v>196.17216976099419</v>
      </c>
      <c r="R5" s="56">
        <v>35886</v>
      </c>
      <c r="S5" s="8">
        <v>40.633649110794032</v>
      </c>
      <c r="T5" s="8">
        <v>0</v>
      </c>
      <c r="U5" s="8">
        <v>0</v>
      </c>
      <c r="V5" s="8">
        <v>886.262939453125</v>
      </c>
      <c r="W5" s="8">
        <v>968.1742808818808</v>
      </c>
      <c r="X5" s="8">
        <v>0</v>
      </c>
      <c r="Y5" s="8">
        <v>12.830624759197235</v>
      </c>
      <c r="Z5" s="8">
        <v>0</v>
      </c>
      <c r="AA5" s="8">
        <v>0</v>
      </c>
      <c r="AI5" s="56">
        <f>AB60</f>
        <v>37561</v>
      </c>
      <c r="AJ5" s="8">
        <f>AC60</f>
        <v>14468.215766787529</v>
      </c>
      <c r="AK5" s="8">
        <f t="shared" ref="AK5" si="41">AD60</f>
        <v>103466.91098866615</v>
      </c>
      <c r="AL5" s="8">
        <f t="shared" si="13"/>
        <v>-90.716981244991914</v>
      </c>
      <c r="AM5" s="11">
        <f t="shared" si="14"/>
        <v>-85.138179811583882</v>
      </c>
      <c r="AN5" s="56">
        <v>37561</v>
      </c>
      <c r="AO5" s="8">
        <v>10454.049999999999</v>
      </c>
      <c r="AP5" s="8">
        <f t="shared" si="2"/>
        <v>17836.267969559616</v>
      </c>
      <c r="AQ5" s="8">
        <f t="shared" si="3"/>
        <v>15862.640740555091</v>
      </c>
      <c r="AR5" s="8">
        <f t="shared" si="4"/>
        <v>12510.274807314428</v>
      </c>
      <c r="BF5" s="56">
        <v>35886</v>
      </c>
      <c r="BG5" s="8">
        <v>40.633649110794032</v>
      </c>
      <c r="BH5" s="8">
        <v>0</v>
      </c>
      <c r="BI5" s="8">
        <v>0</v>
      </c>
      <c r="BJ5" s="8">
        <v>886.262939453125</v>
      </c>
      <c r="BK5" s="8">
        <v>12.676828145980835</v>
      </c>
      <c r="BL5" s="8">
        <v>0</v>
      </c>
      <c r="BM5" s="8">
        <v>0</v>
      </c>
      <c r="BN5" s="8">
        <v>1053.256351470947</v>
      </c>
      <c r="BO5" s="8">
        <v>0</v>
      </c>
      <c r="BV5" s="56">
        <f>BP60</f>
        <v>37561</v>
      </c>
      <c r="BW5" s="8">
        <f t="shared" ref="BW5:BX5" si="42">BQ60</f>
        <v>14775.924602389332</v>
      </c>
      <c r="BX5" s="8">
        <f t="shared" si="42"/>
        <v>99724.076329495787</v>
      </c>
      <c r="BY5" s="8">
        <f>BS60</f>
        <v>3700.1669960021977</v>
      </c>
      <c r="BZ5" s="20">
        <f t="shared" si="0"/>
        <v>-85.138179811583882</v>
      </c>
      <c r="CA5" s="20">
        <f t="shared" si="6"/>
        <v>-90.716981244991914</v>
      </c>
      <c r="CC5" s="56">
        <v>37561</v>
      </c>
      <c r="CD5" s="8">
        <f t="shared" si="7"/>
        <v>10454.049999999999</v>
      </c>
      <c r="CF5" s="56">
        <v>36831</v>
      </c>
      <c r="CG5" s="8">
        <f>CP4+BX3+BY3+BQ37</f>
        <v>157794.904001288</v>
      </c>
      <c r="CH5" s="11">
        <f t="shared" si="33"/>
        <v>413.7735849169066</v>
      </c>
      <c r="CI5" s="11">
        <f t="shared" si="34"/>
        <v>93.199587233355885</v>
      </c>
      <c r="CJ5" s="8">
        <f t="shared" si="35"/>
        <v>23093.200000000001</v>
      </c>
      <c r="CK5" s="8">
        <f t="shared" si="36"/>
        <v>207838.80000000002</v>
      </c>
      <c r="CL5" s="8">
        <f t="shared" si="37"/>
        <v>186316.03292102666</v>
      </c>
      <c r="CM5" s="8">
        <f t="shared" si="38"/>
        <v>-28521.128919738665</v>
      </c>
      <c r="CN5" s="8">
        <f>BR37</f>
        <v>250327.19618042375</v>
      </c>
      <c r="CO5" s="8">
        <f t="shared" si="39"/>
        <v>221806.06726068509</v>
      </c>
      <c r="CP5" s="8">
        <f t="shared" ref="CP5:CP11" si="43">IF(-CM5&gt;CN5,0,CM5)</f>
        <v>-28521.128919738665</v>
      </c>
      <c r="CQ5" s="8">
        <f t="shared" ref="CQ5:CQ13" si="44">CP4+BX3+BY3</f>
        <v>134341.86988817889</v>
      </c>
      <c r="CS5" s="56">
        <v>37561</v>
      </c>
      <c r="CT5" s="8">
        <f t="shared" si="16"/>
        <v>14775.924602389332</v>
      </c>
      <c r="CU5" s="8">
        <f t="shared" si="17"/>
        <v>192669.57497502523</v>
      </c>
      <c r="CV5" s="20">
        <f t="shared" si="18"/>
        <v>-85.138179811583882</v>
      </c>
      <c r="CW5" s="20">
        <f t="shared" si="19"/>
        <v>-90.716981244991914</v>
      </c>
      <c r="CX5">
        <v>0</v>
      </c>
      <c r="CY5" s="56">
        <v>37561</v>
      </c>
      <c r="CZ5" s="8">
        <f t="shared" si="20"/>
        <v>10454.049999999999</v>
      </c>
      <c r="DA5" s="8">
        <f t="shared" si="8"/>
        <v>19351.192670657696</v>
      </c>
      <c r="DB5" s="8">
        <f t="shared" si="9"/>
        <v>16615.946547687512</v>
      </c>
      <c r="DC5" s="8">
        <f t="shared" si="21"/>
        <v>13991.8078768344</v>
      </c>
      <c r="DD5" s="8">
        <f t="shared" si="22"/>
        <v>12557.49152050709</v>
      </c>
      <c r="DE5" s="8">
        <f t="shared" si="23"/>
        <v>10899.174099584168</v>
      </c>
      <c r="ED5" s="56">
        <v>37561</v>
      </c>
      <c r="EE5" s="8">
        <f t="shared" si="24"/>
        <v>14775.924602389332</v>
      </c>
      <c r="EF5" s="8">
        <f t="shared" si="25"/>
        <v>192669.57497502523</v>
      </c>
      <c r="EG5" s="8">
        <f t="shared" si="26"/>
        <v>-90.716981244991914</v>
      </c>
      <c r="EH5" s="8">
        <f t="shared" si="40"/>
        <v>0</v>
      </c>
      <c r="EJ5" s="56">
        <v>37561</v>
      </c>
      <c r="EK5" s="8">
        <f t="shared" si="11"/>
        <v>10454.049999999999</v>
      </c>
      <c r="EL5" s="8">
        <f t="shared" si="27"/>
        <v>12263.366940508355</v>
      </c>
    </row>
    <row r="6" spans="1:142" x14ac:dyDescent="0.25">
      <c r="A6" s="38">
        <v>2002</v>
      </c>
      <c r="B6" s="11">
        <v>8.3325471464755392</v>
      </c>
      <c r="C6" s="11">
        <v>40.848113203948401</v>
      </c>
      <c r="D6" s="11">
        <v>49.626886763662661</v>
      </c>
      <c r="E6" s="11">
        <v>7.5438679237410708</v>
      </c>
      <c r="F6" s="11">
        <v>3.8542452763836339</v>
      </c>
      <c r="G6" s="11">
        <v>17.064150985681785</v>
      </c>
      <c r="H6" s="11">
        <v>6.1509433962264151</v>
      </c>
      <c r="I6" s="11">
        <v>38.04245283018868</v>
      </c>
      <c r="J6" s="11">
        <v>11.10377358490566</v>
      </c>
      <c r="K6" s="11">
        <v>22.84433962264151</v>
      </c>
      <c r="L6" s="11">
        <v>15.764150943396226</v>
      </c>
      <c r="M6" s="11">
        <v>47.735849056603776</v>
      </c>
      <c r="N6" s="11">
        <v>268.91132073385535</v>
      </c>
      <c r="O6" s="11">
        <f t="shared" si="28"/>
        <v>106.60377361976876</v>
      </c>
      <c r="P6" s="11">
        <f t="shared" si="29"/>
        <v>98.807547114086603</v>
      </c>
      <c r="Q6" s="11">
        <f t="shared" si="30"/>
        <v>148.00943396226415</v>
      </c>
      <c r="R6" s="56">
        <v>35916</v>
      </c>
      <c r="S6" s="8">
        <v>1.5854835510253927E-5</v>
      </c>
      <c r="T6" s="8">
        <v>5054.3270101547187</v>
      </c>
      <c r="U6" s="8">
        <v>0</v>
      </c>
      <c r="V6" s="8">
        <v>35.92041015625</v>
      </c>
      <c r="W6" s="8">
        <v>10456.402268648148</v>
      </c>
      <c r="X6" s="8">
        <v>2381.8474273681645</v>
      </c>
      <c r="Y6" s="8">
        <v>0</v>
      </c>
      <c r="Z6" s="8">
        <v>0</v>
      </c>
      <c r="AA6" s="8">
        <v>0</v>
      </c>
      <c r="AI6" s="56">
        <f>AB72</f>
        <v>37926</v>
      </c>
      <c r="AJ6" s="8">
        <f>AC72</f>
        <v>4585.5358866155148</v>
      </c>
      <c r="AK6" s="8">
        <f t="shared" ref="AK6" si="45">AD72</f>
        <v>41414.467935658991</v>
      </c>
      <c r="AL6" s="8">
        <f t="shared" si="13"/>
        <v>-105.01509439681436</v>
      </c>
      <c r="AM6" s="11">
        <f t="shared" si="14"/>
        <v>16.48115981251965</v>
      </c>
      <c r="AN6" s="56">
        <v>37926</v>
      </c>
      <c r="AO6" s="8">
        <v>5661.1</v>
      </c>
      <c r="AP6" s="8">
        <f t="shared" si="2"/>
        <v>6448.0540410832855</v>
      </c>
      <c r="AQ6" s="8">
        <f t="shared" si="3"/>
        <v>3176.1481085974451</v>
      </c>
      <c r="AR6" s="8">
        <f t="shared" si="4"/>
        <v>4029.935895624209</v>
      </c>
      <c r="BF6" s="56">
        <v>35916</v>
      </c>
      <c r="BG6" s="8">
        <v>1.5854835510253927E-5</v>
      </c>
      <c r="BH6" s="8">
        <v>5054.3270101547187</v>
      </c>
      <c r="BI6" s="8">
        <v>0</v>
      </c>
      <c r="BJ6" s="8">
        <v>35.92041015625</v>
      </c>
      <c r="BK6" s="8">
        <v>0</v>
      </c>
      <c r="BL6" s="8">
        <v>0</v>
      </c>
      <c r="BM6" s="8">
        <v>0</v>
      </c>
      <c r="BN6" s="8">
        <v>10441.648507356644</v>
      </c>
      <c r="BO6" s="8">
        <v>2346.6646118164058</v>
      </c>
      <c r="BV6" s="56">
        <f>BP72</f>
        <v>37926</v>
      </c>
      <c r="BW6" s="8">
        <f t="shared" ref="BW6:BX6" si="46">BQ72</f>
        <v>6585.1989251077157</v>
      </c>
      <c r="BX6" s="8">
        <f t="shared" si="46"/>
        <v>40225.221414942287</v>
      </c>
      <c r="BY6" s="8">
        <f>BS72</f>
        <v>0</v>
      </c>
      <c r="BZ6" s="20">
        <f t="shared" si="0"/>
        <v>16.48115981251965</v>
      </c>
      <c r="CA6" s="20">
        <f t="shared" si="6"/>
        <v>-105.01509439681436</v>
      </c>
      <c r="CC6" s="56">
        <v>37926</v>
      </c>
      <c r="CD6" s="8">
        <f t="shared" si="7"/>
        <v>5661.1</v>
      </c>
      <c r="CF6" s="56">
        <v>37196</v>
      </c>
      <c r="CG6" s="8">
        <f>CP5+BX4+BY4+BQ49</f>
        <v>331004.16303925059</v>
      </c>
      <c r="CH6" s="11">
        <f t="shared" si="33"/>
        <v>196.17216976099419</v>
      </c>
      <c r="CI6" s="11">
        <f t="shared" si="34"/>
        <v>-124.40182792255652</v>
      </c>
      <c r="CJ6" s="8">
        <f t="shared" si="35"/>
        <v>23600</v>
      </c>
      <c r="CK6" s="8">
        <f t="shared" si="36"/>
        <v>212400</v>
      </c>
      <c r="CL6" s="8">
        <f t="shared" si="37"/>
        <v>241758.83138972335</v>
      </c>
      <c r="CM6" s="8">
        <f t="shared" si="38"/>
        <v>89245.331649527245</v>
      </c>
      <c r="CN6" s="8">
        <f>BR49</f>
        <v>59598.9806363471</v>
      </c>
      <c r="CO6" s="8">
        <f t="shared" si="39"/>
        <v>148844.31228587433</v>
      </c>
      <c r="CP6" s="8">
        <f t="shared" si="43"/>
        <v>89245.331649527245</v>
      </c>
      <c r="CQ6" s="8">
        <f>CP5+BX4+BY4</f>
        <v>242722.1910747501</v>
      </c>
      <c r="CS6" s="56">
        <v>37926</v>
      </c>
      <c r="CT6" s="8">
        <f t="shared" si="16"/>
        <v>6585.1989251077157</v>
      </c>
      <c r="CU6" s="8">
        <f t="shared" si="17"/>
        <v>150104.74369066517</v>
      </c>
      <c r="CV6" s="20">
        <f t="shared" si="18"/>
        <v>16.48115981251965</v>
      </c>
      <c r="CW6" s="20">
        <f t="shared" si="19"/>
        <v>-105.01509439681436</v>
      </c>
      <c r="CX6">
        <v>0</v>
      </c>
      <c r="CY6" s="56">
        <v>37926</v>
      </c>
      <c r="CZ6" s="8">
        <f t="shared" si="20"/>
        <v>5661.1</v>
      </c>
      <c r="DA6" s="8">
        <f t="shared" si="8"/>
        <v>13370.259932456043</v>
      </c>
      <c r="DB6" s="8">
        <f t="shared" si="9"/>
        <v>13982.664789694574</v>
      </c>
      <c r="DC6" s="8">
        <f t="shared" si="21"/>
        <v>9435.2602653400136</v>
      </c>
      <c r="DD6" s="8">
        <f t="shared" si="22"/>
        <v>4398.4657370115528</v>
      </c>
      <c r="DE6" s="8">
        <f t="shared" si="23"/>
        <v>4485.9668045845165</v>
      </c>
      <c r="ED6" s="56">
        <v>37926</v>
      </c>
      <c r="EE6" s="8">
        <f t="shared" si="24"/>
        <v>6585.1989251077157</v>
      </c>
      <c r="EF6" s="8">
        <f t="shared" si="25"/>
        <v>150104.74369066517</v>
      </c>
      <c r="EG6" s="8">
        <f t="shared" si="26"/>
        <v>-105.01509439681436</v>
      </c>
      <c r="EH6" s="8">
        <f t="shared" si="40"/>
        <v>0</v>
      </c>
      <c r="EJ6" s="56">
        <v>37926</v>
      </c>
      <c r="EK6" s="8">
        <f t="shared" si="11"/>
        <v>5661.1</v>
      </c>
      <c r="EL6" s="8">
        <f t="shared" si="27"/>
        <v>6531.1934636173355</v>
      </c>
    </row>
    <row r="7" spans="1:142" x14ac:dyDescent="0.25">
      <c r="A7" s="38">
        <v>2003</v>
      </c>
      <c r="B7" s="11">
        <v>10.990566037735849</v>
      </c>
      <c r="C7" s="11">
        <v>44.85377358490566</v>
      </c>
      <c r="D7" s="11">
        <v>28.665094339622641</v>
      </c>
      <c r="E7" s="11">
        <v>56.264150943396224</v>
      </c>
      <c r="F7" s="11">
        <v>1.7311320754716981</v>
      </c>
      <c r="G7" s="11">
        <v>40.132075471698116</v>
      </c>
      <c r="H7" s="11">
        <v>30.374056537196321</v>
      </c>
      <c r="I7" s="11">
        <v>31.431603854557252</v>
      </c>
      <c r="J7" s="11">
        <v>0.19905661130851171</v>
      </c>
      <c r="K7" s="11">
        <v>48.091037750244141</v>
      </c>
      <c r="L7" s="11">
        <v>18.98160377538429</v>
      </c>
      <c r="M7" s="11">
        <v>79.193868115263172</v>
      </c>
      <c r="N7" s="11">
        <v>390.90801909678396</v>
      </c>
      <c r="O7" s="11">
        <f t="shared" si="28"/>
        <v>208.22311324387229</v>
      </c>
      <c r="P7" s="11">
        <f t="shared" si="29"/>
        <v>84.509433962264154</v>
      </c>
      <c r="Q7" s="11">
        <f t="shared" si="30"/>
        <v>451.06886855611259</v>
      </c>
      <c r="R7" s="56">
        <v>35947</v>
      </c>
      <c r="S7" s="8">
        <v>0</v>
      </c>
      <c r="T7" s="8">
        <v>201.42493629455561</v>
      </c>
      <c r="U7" s="8">
        <v>0</v>
      </c>
      <c r="V7" s="8">
        <v>6.240234375</v>
      </c>
      <c r="W7" s="8">
        <v>500.90735459327686</v>
      </c>
      <c r="X7" s="8">
        <v>0</v>
      </c>
      <c r="Y7" s="8">
        <v>0</v>
      </c>
      <c r="Z7" s="8">
        <v>0</v>
      </c>
      <c r="AA7" s="8">
        <v>0</v>
      </c>
      <c r="AI7" s="56">
        <f>AB84</f>
        <v>38292</v>
      </c>
      <c r="AJ7" s="8">
        <f>AC84</f>
        <v>1558.704723834991</v>
      </c>
      <c r="AK7" s="8">
        <f t="shared" ref="AK7" si="47">AD84</f>
        <v>172296.50716152787</v>
      </c>
      <c r="AL7" s="8">
        <f t="shared" si="13"/>
        <v>163.36886830638664</v>
      </c>
      <c r="AM7" s="11">
        <f t="shared" si="14"/>
        <v>-10.580632624678401</v>
      </c>
      <c r="AN7" s="56">
        <v>38292</v>
      </c>
      <c r="AO7" s="8">
        <v>23865.4</v>
      </c>
      <c r="AP7" s="8">
        <f t="shared" si="2"/>
        <v>16781.827875831645</v>
      </c>
      <c r="AQ7" s="8">
        <f t="shared" si="3"/>
        <v>19480.648181675268</v>
      </c>
      <c r="AR7" s="8">
        <f t="shared" si="4"/>
        <v>16433.038172454271</v>
      </c>
      <c r="BF7" s="56">
        <v>35947</v>
      </c>
      <c r="BG7" s="8">
        <v>0</v>
      </c>
      <c r="BH7" s="8">
        <v>201.42493629455561</v>
      </c>
      <c r="BI7" s="8">
        <v>0</v>
      </c>
      <c r="BJ7" s="8">
        <v>6.240234375</v>
      </c>
      <c r="BK7" s="8">
        <v>0</v>
      </c>
      <c r="BL7" s="8">
        <v>0</v>
      </c>
      <c r="BM7" s="8">
        <v>0</v>
      </c>
      <c r="BN7" s="8">
        <v>502.06376290321344</v>
      </c>
      <c r="BO7" s="8">
        <v>0</v>
      </c>
      <c r="BV7" s="56">
        <f>BP84</f>
        <v>38292</v>
      </c>
      <c r="BW7" s="8">
        <f t="shared" ref="BW7:BX7" si="48">BQ84</f>
        <v>1558.704723834991</v>
      </c>
      <c r="BX7" s="8">
        <f t="shared" si="48"/>
        <v>161920.6500399262</v>
      </c>
      <c r="BY7" s="8">
        <f>BS84</f>
        <v>12121.593765258789</v>
      </c>
      <c r="BZ7" s="20">
        <f t="shared" si="0"/>
        <v>-10.580632624678401</v>
      </c>
      <c r="CA7" s="20">
        <f t="shared" si="6"/>
        <v>163.36886830638664</v>
      </c>
      <c r="CC7" s="56">
        <v>38292</v>
      </c>
      <c r="CD7" s="8">
        <f t="shared" si="7"/>
        <v>23865.4</v>
      </c>
      <c r="CF7" s="56">
        <v>37561</v>
      </c>
      <c r="CG7" s="8">
        <f>CP6+BX5+BY5+BQ61</f>
        <v>222005.95804942804</v>
      </c>
      <c r="CH7" s="11">
        <f t="shared" si="33"/>
        <v>148.00943396226415</v>
      </c>
      <c r="CI7" s="11">
        <f t="shared" si="34"/>
        <v>-172.56456372128656</v>
      </c>
      <c r="CJ7" s="8">
        <f t="shared" si="35"/>
        <v>10454.049999999999</v>
      </c>
      <c r="CK7" s="8">
        <f t="shared" si="36"/>
        <v>94086.45</v>
      </c>
      <c r="CL7" s="8">
        <f t="shared" si="37"/>
        <v>112126.43577370516</v>
      </c>
      <c r="CM7" s="8">
        <f t="shared" si="38"/>
        <v>109879.52227572288</v>
      </c>
      <c r="CN7" s="8">
        <f>BR61</f>
        <v>25154.967847663909</v>
      </c>
      <c r="CO7" s="8">
        <f t="shared" si="39"/>
        <v>135034.49012338679</v>
      </c>
      <c r="CP7" s="8">
        <f t="shared" si="43"/>
        <v>109879.52227572288</v>
      </c>
      <c r="CQ7" s="8">
        <f t="shared" si="44"/>
        <v>192669.57497502523</v>
      </c>
      <c r="CS7" s="56">
        <v>38292</v>
      </c>
      <c r="CT7" s="8">
        <f t="shared" si="16"/>
        <v>1558.704723834991</v>
      </c>
      <c r="CU7" s="8">
        <f t="shared" si="17"/>
        <v>294353.96311975474</v>
      </c>
      <c r="CV7" s="20">
        <f t="shared" si="18"/>
        <v>-10.580632624678401</v>
      </c>
      <c r="CW7" s="20">
        <f t="shared" si="19"/>
        <v>163.36886830638664</v>
      </c>
      <c r="CX7">
        <v>0</v>
      </c>
      <c r="CY7" s="56">
        <v>38292</v>
      </c>
      <c r="CZ7" s="8">
        <f t="shared" si="20"/>
        <v>23865.4</v>
      </c>
      <c r="DA7" s="8">
        <f t="shared" si="8"/>
        <v>22287.184596483348</v>
      </c>
      <c r="DB7" s="8">
        <f t="shared" si="9"/>
        <v>19156.970986467604</v>
      </c>
      <c r="DC7" s="8">
        <f t="shared" si="21"/>
        <v>21819.918618793949</v>
      </c>
      <c r="DD7" s="8">
        <f t="shared" si="22"/>
        <v>23273.361373021406</v>
      </c>
      <c r="DE7" s="8">
        <f t="shared" si="23"/>
        <v>23014.134846226822</v>
      </c>
      <c r="ED7" s="56">
        <v>38292</v>
      </c>
      <c r="EE7" s="8">
        <f t="shared" si="24"/>
        <v>1558.704723834991</v>
      </c>
      <c r="EF7" s="8">
        <f t="shared" si="25"/>
        <v>294353.96311975474</v>
      </c>
      <c r="EG7" s="8">
        <f t="shared" si="26"/>
        <v>163.36886830638664</v>
      </c>
      <c r="EH7" s="8">
        <f t="shared" si="40"/>
        <v>0</v>
      </c>
      <c r="EJ7" s="56">
        <v>38292</v>
      </c>
      <c r="EK7" s="8">
        <f t="shared" si="11"/>
        <v>23865.4</v>
      </c>
      <c r="EL7" s="8">
        <f t="shared" si="27"/>
        <v>24445.078659881568</v>
      </c>
    </row>
    <row r="8" spans="1:142" x14ac:dyDescent="0.25">
      <c r="A8" s="38">
        <v>2004</v>
      </c>
      <c r="B8" s="11">
        <v>162.97405674772443</v>
      </c>
      <c r="C8" s="11">
        <v>58.612735964217279</v>
      </c>
      <c r="D8" s="11">
        <v>131.30660395352345</v>
      </c>
      <c r="E8" s="11">
        <v>37.173113256130577</v>
      </c>
      <c r="F8" s="11">
        <v>25.770283028764545</v>
      </c>
      <c r="G8" s="11">
        <v>5.5952830123451518</v>
      </c>
      <c r="H8" s="11">
        <v>16.94811320754717</v>
      </c>
      <c r="I8" s="11">
        <v>22.528301886792452</v>
      </c>
      <c r="J8" s="11">
        <v>47.226415094339622</v>
      </c>
      <c r="K8" s="11">
        <v>25.919811320754718</v>
      </c>
      <c r="L8" s="11">
        <v>100.90566037735849</v>
      </c>
      <c r="M8" s="11">
        <v>180.79716981132074</v>
      </c>
      <c r="N8" s="11">
        <v>815.75754766081855</v>
      </c>
      <c r="O8" s="11">
        <f t="shared" si="28"/>
        <v>181.16132080667424</v>
      </c>
      <c r="P8" s="11">
        <f t="shared" si="29"/>
        <v>352.89339666546516</v>
      </c>
      <c r="Q8" s="11">
        <f t="shared" si="30"/>
        <v>371.17452830188677</v>
      </c>
      <c r="R8" s="56">
        <v>35977</v>
      </c>
      <c r="S8" s="8">
        <v>0</v>
      </c>
      <c r="T8" s="8">
        <v>8025.8260760307312</v>
      </c>
      <c r="U8" s="8">
        <v>0</v>
      </c>
      <c r="V8" s="8">
        <v>2425.8906637440678</v>
      </c>
      <c r="W8" s="8">
        <v>33451.395148783922</v>
      </c>
      <c r="X8" s="8">
        <v>2736.1857299804687</v>
      </c>
      <c r="Y8" s="8">
        <v>0</v>
      </c>
      <c r="Z8" s="8">
        <v>22670.033813476577</v>
      </c>
      <c r="AA8" s="8">
        <v>1554</v>
      </c>
      <c r="AI8" s="56">
        <f>AB96</f>
        <v>38657</v>
      </c>
      <c r="AJ8" s="8">
        <f>AC96</f>
        <v>7040.440028905864</v>
      </c>
      <c r="AK8" s="8">
        <f t="shared" ref="AK8" si="49">AD96</f>
        <v>88409.795071870089</v>
      </c>
      <c r="AL8" s="8">
        <f t="shared" si="13"/>
        <v>-100.05283024587098</v>
      </c>
      <c r="AM8" s="11">
        <f t="shared" si="14"/>
        <v>57.323141084609802</v>
      </c>
      <c r="AN8" s="56">
        <v>38657</v>
      </c>
      <c r="AO8" s="8">
        <v>21084.579999999994</v>
      </c>
      <c r="AP8" s="8">
        <f t="shared" si="2"/>
        <v>12189.172217041174</v>
      </c>
      <c r="AQ8" s="8">
        <f t="shared" si="3"/>
        <v>8744.8370883924108</v>
      </c>
      <c r="AR8" s="8">
        <f t="shared" si="4"/>
        <v>11530.954747904145</v>
      </c>
      <c r="BF8" s="56">
        <v>35977</v>
      </c>
      <c r="BG8" s="8">
        <v>0</v>
      </c>
      <c r="BH8" s="8">
        <v>8025.8260760307312</v>
      </c>
      <c r="BI8" s="8">
        <v>0</v>
      </c>
      <c r="BJ8" s="8">
        <v>2425.8906637440678</v>
      </c>
      <c r="BK8" s="8">
        <v>0</v>
      </c>
      <c r="BL8" s="8">
        <v>23264.291455984123</v>
      </c>
      <c r="BM8" s="8">
        <v>1553.1600341796875</v>
      </c>
      <c r="BN8" s="8">
        <v>33612.108602941044</v>
      </c>
      <c r="BO8" s="8">
        <v>2724.1354370117187</v>
      </c>
      <c r="BV8" s="56">
        <f>BP96</f>
        <v>38657</v>
      </c>
      <c r="BW8" s="8">
        <f t="shared" ref="BW8:BX8" si="50">BQ96</f>
        <v>6942.4761111736325</v>
      </c>
      <c r="BX8" s="8">
        <f t="shared" si="50"/>
        <v>85263.268172690645</v>
      </c>
      <c r="BY8" s="8">
        <f>BS96</f>
        <v>2897.8209724426265</v>
      </c>
      <c r="BZ8" s="20">
        <f t="shared" si="0"/>
        <v>57.323141084609802</v>
      </c>
      <c r="CA8" s="20">
        <f t="shared" si="6"/>
        <v>-100.05283024587098</v>
      </c>
      <c r="CC8" s="56">
        <v>38657</v>
      </c>
      <c r="CD8" s="8">
        <f t="shared" si="7"/>
        <v>21084.579999999994</v>
      </c>
      <c r="CF8" s="56">
        <v>37926</v>
      </c>
      <c r="CG8" s="8">
        <f>CP7+BX6+BY6+BQ73</f>
        <v>163874.17417960317</v>
      </c>
      <c r="CH8" s="11">
        <f t="shared" si="33"/>
        <v>451.06886855611259</v>
      </c>
      <c r="CI8" s="11">
        <f t="shared" si="34"/>
        <v>130.49487087256188</v>
      </c>
      <c r="CJ8" s="8">
        <f t="shared" si="35"/>
        <v>5661.1</v>
      </c>
      <c r="CK8" s="8">
        <f t="shared" si="36"/>
        <v>50949.9</v>
      </c>
      <c r="CL8" s="8">
        <f t="shared" si="37"/>
        <v>43562.454865033404</v>
      </c>
      <c r="CM8" s="8">
        <f t="shared" si="38"/>
        <v>120311.71931456977</v>
      </c>
      <c r="CN8" s="8">
        <f>BR73</f>
        <v>164846.17827270928</v>
      </c>
      <c r="CO8" s="8">
        <f t="shared" si="39"/>
        <v>285157.89758727903</v>
      </c>
      <c r="CP8" s="8">
        <f t="shared" si="43"/>
        <v>120311.71931456977</v>
      </c>
      <c r="CQ8" s="8">
        <f t="shared" si="44"/>
        <v>150104.74369066517</v>
      </c>
      <c r="CS8" s="56">
        <v>38657</v>
      </c>
      <c r="CT8" s="8">
        <f t="shared" si="16"/>
        <v>6942.4761111736325</v>
      </c>
      <c r="CU8" s="8">
        <f t="shared" si="17"/>
        <v>189692.4373773578</v>
      </c>
      <c r="CV8" s="20">
        <f t="shared" si="18"/>
        <v>57.323141084609802</v>
      </c>
      <c r="CW8" s="20">
        <f t="shared" si="19"/>
        <v>-100.05283024587098</v>
      </c>
      <c r="CX8">
        <v>1</v>
      </c>
      <c r="CY8" s="56">
        <v>38657</v>
      </c>
      <c r="CZ8" s="8">
        <f t="shared" si="20"/>
        <v>21084.579999999994</v>
      </c>
      <c r="DA8" s="8">
        <f t="shared" si="8"/>
        <v>16418.790459310694</v>
      </c>
      <c r="DB8" s="8">
        <f t="shared" si="9"/>
        <v>18567.385511415869</v>
      </c>
      <c r="DC8" s="8">
        <f t="shared" si="21"/>
        <v>13857.407895186952</v>
      </c>
      <c r="DD8" s="8">
        <f t="shared" si="22"/>
        <v>21084.579999999991</v>
      </c>
      <c r="DE8" s="8">
        <f t="shared" si="23"/>
        <v>21084.579999999991</v>
      </c>
      <c r="ED8" s="56">
        <v>38657</v>
      </c>
      <c r="EE8" s="8">
        <f t="shared" si="24"/>
        <v>6942.4761111736325</v>
      </c>
      <c r="EF8" s="8">
        <f t="shared" si="25"/>
        <v>189692.4373773578</v>
      </c>
      <c r="EG8" s="8">
        <f t="shared" si="26"/>
        <v>-100.05283024587098</v>
      </c>
      <c r="EH8" s="8">
        <f t="shared" si="40"/>
        <v>1</v>
      </c>
      <c r="EJ8" s="56">
        <v>38657</v>
      </c>
      <c r="EK8" s="8">
        <f t="shared" si="11"/>
        <v>21084.579999999994</v>
      </c>
      <c r="EL8" s="8">
        <f t="shared" si="27"/>
        <v>19444.500488355952</v>
      </c>
    </row>
    <row r="9" spans="1:142" x14ac:dyDescent="0.25">
      <c r="A9" s="38">
        <v>2005</v>
      </c>
      <c r="B9" s="11">
        <v>55.056603773584904</v>
      </c>
      <c r="C9" s="11">
        <v>18.023584905660378</v>
      </c>
      <c r="D9" s="11">
        <v>16.391509433962263</v>
      </c>
      <c r="E9" s="11">
        <v>0</v>
      </c>
      <c r="F9" s="11">
        <v>40.089622641509436</v>
      </c>
      <c r="G9" s="11">
        <v>123.51415094339623</v>
      </c>
      <c r="H9" s="11">
        <v>8.0155660656263237</v>
      </c>
      <c r="I9" s="11">
        <v>11.173113211145941</v>
      </c>
      <c r="J9" s="11">
        <v>11.365566078222022</v>
      </c>
      <c r="K9" s="11">
        <v>54.907075576062475</v>
      </c>
      <c r="L9" s="11">
        <v>87.842452804997279</v>
      </c>
      <c r="M9" s="11">
        <v>49.108962220965694</v>
      </c>
      <c r="N9" s="11">
        <v>475.4882076551329</v>
      </c>
      <c r="O9" s="11">
        <f t="shared" si="28"/>
        <v>249.06509451596244</v>
      </c>
      <c r="P9" s="11">
        <f t="shared" si="29"/>
        <v>89.471698113207538</v>
      </c>
      <c r="Q9" s="11">
        <f t="shared" si="30"/>
        <v>319.93207550048828</v>
      </c>
      <c r="R9" s="56">
        <v>36008</v>
      </c>
      <c r="S9" s="8">
        <v>0</v>
      </c>
      <c r="T9" s="8">
        <v>13569.743985176077</v>
      </c>
      <c r="U9" s="8">
        <v>0</v>
      </c>
      <c r="V9" s="8">
        <v>798.21378183364743</v>
      </c>
      <c r="W9" s="8">
        <v>64890.204131126389</v>
      </c>
      <c r="X9" s="8">
        <v>9006.1530151367187</v>
      </c>
      <c r="Y9" s="8">
        <v>0</v>
      </c>
      <c r="Z9" s="8">
        <v>4439.08154296875</v>
      </c>
      <c r="AA9" s="8">
        <v>2045.82958984375</v>
      </c>
      <c r="AI9" s="56">
        <f>AB108</f>
        <v>39022</v>
      </c>
      <c r="AJ9" s="8">
        <f>AC108</f>
        <v>8611.4958543777466</v>
      </c>
      <c r="AK9" s="8">
        <f t="shared" ref="AK9" si="51">AD108</f>
        <v>48428.690661160275</v>
      </c>
      <c r="AL9" s="8">
        <f t="shared" si="13"/>
        <v>-6.5438678845532081</v>
      </c>
      <c r="AM9" s="11">
        <f t="shared" si="14"/>
        <v>-68.847613630768763</v>
      </c>
      <c r="AN9" s="56">
        <v>39022</v>
      </c>
      <c r="AO9" s="8">
        <v>10576.24</v>
      </c>
      <c r="AP9" s="8">
        <f t="shared" si="2"/>
        <v>9403.0953985871965</v>
      </c>
      <c r="AQ9" s="8">
        <f t="shared" si="3"/>
        <v>10008.45756970509</v>
      </c>
      <c r="AR9" s="8">
        <f t="shared" si="4"/>
        <v>7462.6032744848981</v>
      </c>
      <c r="BF9" s="56">
        <v>36008</v>
      </c>
      <c r="BG9" s="8">
        <v>0</v>
      </c>
      <c r="BH9" s="8">
        <v>13569.743985176077</v>
      </c>
      <c r="BI9" s="8">
        <v>0</v>
      </c>
      <c r="BJ9" s="8">
        <v>798.21378183364743</v>
      </c>
      <c r="BK9" s="8">
        <v>0</v>
      </c>
      <c r="BL9" s="8">
        <v>3119.4150390625</v>
      </c>
      <c r="BM9" s="8">
        <v>2944.79150390625</v>
      </c>
      <c r="BN9" s="8">
        <v>62128.237133026116</v>
      </c>
      <c r="BO9" s="8">
        <v>8973.1766052246094</v>
      </c>
      <c r="BV9" s="56">
        <f>BP108</f>
        <v>39022</v>
      </c>
      <c r="BW9" s="8">
        <f t="shared" ref="BW9:BX9" si="52">BQ108</f>
        <v>8342.2663829495432</v>
      </c>
      <c r="BX9" s="8">
        <f t="shared" si="52"/>
        <v>54224.674519820139</v>
      </c>
      <c r="BY9" s="8">
        <f>BS108</f>
        <v>0</v>
      </c>
      <c r="BZ9" s="20">
        <f t="shared" si="0"/>
        <v>-68.847613630768763</v>
      </c>
      <c r="CA9" s="20">
        <f t="shared" si="6"/>
        <v>-6.5438678845532081</v>
      </c>
      <c r="CC9" s="56">
        <v>39022</v>
      </c>
      <c r="CD9" s="8">
        <f t="shared" si="7"/>
        <v>10576.24</v>
      </c>
      <c r="CF9" s="56">
        <v>38292</v>
      </c>
      <c r="CG9" s="8">
        <f>CP8+BX7+BY7+BQ85</f>
        <v>304243.92919803614</v>
      </c>
      <c r="CH9" s="11">
        <f t="shared" si="33"/>
        <v>371.17452830188677</v>
      </c>
      <c r="CI9" s="11">
        <f t="shared" si="34"/>
        <v>50.600530618336052</v>
      </c>
      <c r="CJ9" s="8">
        <f t="shared" si="35"/>
        <v>23865.4</v>
      </c>
      <c r="CK9" s="8">
        <f t="shared" si="36"/>
        <v>214788.6</v>
      </c>
      <c r="CL9" s="8">
        <f t="shared" si="37"/>
        <v>202712.58096581162</v>
      </c>
      <c r="CM9" s="8">
        <f t="shared" si="38"/>
        <v>101531.34823222453</v>
      </c>
      <c r="CN9" s="8">
        <f>BR85</f>
        <v>61341.56817923487</v>
      </c>
      <c r="CO9" s="8">
        <f t="shared" si="39"/>
        <v>162872.91641145939</v>
      </c>
      <c r="CP9" s="8">
        <f t="shared" si="43"/>
        <v>101531.34823222453</v>
      </c>
      <c r="CQ9" s="8">
        <f t="shared" si="44"/>
        <v>294353.96311975474</v>
      </c>
      <c r="CS9" s="56">
        <v>39022</v>
      </c>
      <c r="CT9" s="8">
        <f t="shared" si="16"/>
        <v>8342.2663829495432</v>
      </c>
      <c r="CU9" s="8">
        <f t="shared" si="17"/>
        <v>98564.29266807466</v>
      </c>
      <c r="CV9" s="20">
        <f t="shared" si="18"/>
        <v>-68.847613630768763</v>
      </c>
      <c r="CW9" s="20">
        <f t="shared" si="19"/>
        <v>-6.5438678845532081</v>
      </c>
      <c r="CX9">
        <v>0</v>
      </c>
      <c r="CY9" s="56">
        <v>39022</v>
      </c>
      <c r="CZ9" s="8">
        <f t="shared" si="20"/>
        <v>10576.24</v>
      </c>
      <c r="DA9" s="8">
        <f t="shared" si="8"/>
        <v>10170.758293900577</v>
      </c>
      <c r="DB9" s="8">
        <f t="shared" si="9"/>
        <v>7782.6130995156927</v>
      </c>
      <c r="DC9" s="8">
        <f t="shared" si="21"/>
        <v>8185.9665010169801</v>
      </c>
      <c r="DD9" s="8">
        <f t="shared" si="22"/>
        <v>9473.006118917403</v>
      </c>
      <c r="DE9" s="8">
        <f t="shared" si="23"/>
        <v>8109.4629214276465</v>
      </c>
      <c r="ED9" s="56">
        <v>39022</v>
      </c>
      <c r="EE9" s="8">
        <f t="shared" si="24"/>
        <v>8342.2663829495432</v>
      </c>
      <c r="EF9" s="8">
        <f t="shared" si="25"/>
        <v>98564.29266807466</v>
      </c>
      <c r="EG9" s="8">
        <f t="shared" si="26"/>
        <v>-6.5438678845532081</v>
      </c>
      <c r="EH9" s="8">
        <f t="shared" si="40"/>
        <v>0</v>
      </c>
      <c r="EJ9" s="56">
        <v>39022</v>
      </c>
      <c r="EK9" s="8">
        <f t="shared" si="11"/>
        <v>10576.24</v>
      </c>
      <c r="EL9" s="8">
        <f t="shared" si="27"/>
        <v>8181.5880185208471</v>
      </c>
    </row>
    <row r="10" spans="1:142" x14ac:dyDescent="0.25">
      <c r="A10" s="38">
        <v>2006</v>
      </c>
      <c r="B10" s="11">
        <v>63.746698055627213</v>
      </c>
      <c r="C10" s="11">
        <v>81.030660521309329</v>
      </c>
      <c r="D10" s="11">
        <v>38.203301897588766</v>
      </c>
      <c r="E10" s="11">
        <v>17.867452855380076</v>
      </c>
      <c r="F10" s="11">
        <v>1.2344339530704156</v>
      </c>
      <c r="G10" s="11">
        <v>36.664622693691612</v>
      </c>
      <c r="H10" s="11">
        <v>35.572169879697405</v>
      </c>
      <c r="I10" s="11">
        <v>4.1457547264279055</v>
      </c>
      <c r="J10" s="11">
        <v>23.335377391779197</v>
      </c>
      <c r="K10" s="11">
        <v>4.0745283005372537</v>
      </c>
      <c r="L10" s="11">
        <v>35.047641475245641</v>
      </c>
      <c r="M10" s="11">
        <v>21.225471694514436</v>
      </c>
      <c r="N10" s="11">
        <v>362.14811344486935</v>
      </c>
      <c r="O10" s="11">
        <f t="shared" si="28"/>
        <v>122.89433980058388</v>
      </c>
      <c r="P10" s="11">
        <f t="shared" si="29"/>
        <v>182.98066047452531</v>
      </c>
      <c r="Q10" s="11">
        <f t="shared" si="30"/>
        <v>170.61650944655798</v>
      </c>
      <c r="R10" s="56">
        <v>36039</v>
      </c>
      <c r="S10" s="8">
        <v>787.56494140625045</v>
      </c>
      <c r="T10" s="8">
        <v>687.001953125</v>
      </c>
      <c r="U10" s="8">
        <v>0</v>
      </c>
      <c r="V10" s="8">
        <v>57.355385780334473</v>
      </c>
      <c r="W10" s="8">
        <v>5873.7564086914063</v>
      </c>
      <c r="X10" s="8">
        <v>60</v>
      </c>
      <c r="Y10" s="8">
        <v>0</v>
      </c>
      <c r="Z10" s="8">
        <v>0</v>
      </c>
      <c r="AA10" s="8">
        <v>317.9560546875</v>
      </c>
      <c r="AI10" s="56">
        <f>AB120</f>
        <v>39387</v>
      </c>
      <c r="AJ10" s="8">
        <f>AC120</f>
        <v>5162.385887503624</v>
      </c>
      <c r="AK10" s="8">
        <f t="shared" ref="AK10" si="53">AD120</f>
        <v>36182.485907427981</v>
      </c>
      <c r="AL10" s="8">
        <f t="shared" si="13"/>
        <v>-75.181132082280612</v>
      </c>
      <c r="AM10" s="11">
        <f t="shared" si="14"/>
        <v>-37.336293188948076</v>
      </c>
      <c r="AN10" s="56">
        <v>39387</v>
      </c>
      <c r="AO10" s="8">
        <v>562.69999999999993</v>
      </c>
      <c r="AP10" s="8">
        <f t="shared" si="2"/>
        <v>6296.320961647446</v>
      </c>
      <c r="AQ10" s="8">
        <f t="shared" si="3"/>
        <v>4202.0280180848986</v>
      </c>
      <c r="AR10" s="8">
        <f t="shared" si="4"/>
        <v>2481.4156532279958</v>
      </c>
      <c r="BF10" s="56">
        <v>36039</v>
      </c>
      <c r="BG10" s="8">
        <v>787.56494140625045</v>
      </c>
      <c r="BH10" s="8">
        <v>687.001953125</v>
      </c>
      <c r="BI10" s="8">
        <v>0</v>
      </c>
      <c r="BJ10" s="8">
        <v>57.355385780334473</v>
      </c>
      <c r="BK10" s="8">
        <v>0</v>
      </c>
      <c r="BL10" s="8">
        <v>0</v>
      </c>
      <c r="BM10" s="8">
        <v>322.373046875</v>
      </c>
      <c r="BN10" s="8">
        <v>5446.3357849121094</v>
      </c>
      <c r="BO10" s="8">
        <v>0</v>
      </c>
      <c r="BV10" s="56">
        <f>BP120</f>
        <v>39387</v>
      </c>
      <c r="BW10" s="8">
        <f t="shared" ref="BW10:BX10" si="54">BQ120</f>
        <v>4715.0771446824074</v>
      </c>
      <c r="BX10" s="8">
        <f t="shared" si="54"/>
        <v>38528.884040941019</v>
      </c>
      <c r="BY10" s="8">
        <f>BS120</f>
        <v>0</v>
      </c>
      <c r="BZ10" s="20">
        <f t="shared" si="0"/>
        <v>-37.336293188948076</v>
      </c>
      <c r="CA10" s="20">
        <f t="shared" si="6"/>
        <v>-75.181132082280612</v>
      </c>
      <c r="CC10" s="56">
        <v>39387</v>
      </c>
      <c r="CD10" s="8">
        <f t="shared" si="7"/>
        <v>562.69999999999993</v>
      </c>
      <c r="CF10" s="56">
        <v>38657</v>
      </c>
      <c r="CG10" s="8">
        <f>CP9+BX8+BY8+BQ97</f>
        <v>234236.18474448001</v>
      </c>
      <c r="CH10" s="11">
        <f t="shared" si="33"/>
        <v>319.93207550048828</v>
      </c>
      <c r="CI10" s="11">
        <f t="shared" si="34"/>
        <v>-0.64192218306243376</v>
      </c>
      <c r="CJ10" s="8">
        <f t="shared" si="35"/>
        <v>21084.579999999994</v>
      </c>
      <c r="CK10" s="8">
        <f t="shared" si="36"/>
        <v>189761.21999999994</v>
      </c>
      <c r="CL10" s="8">
        <f t="shared" si="37"/>
        <v>189896.56659622549</v>
      </c>
      <c r="CM10" s="8">
        <f t="shared" si="38"/>
        <v>44339.618148254522</v>
      </c>
      <c r="CN10" s="8">
        <f>BR97</f>
        <v>53390.391834223643</v>
      </c>
      <c r="CO10" s="8">
        <f t="shared" si="39"/>
        <v>97730.009982478165</v>
      </c>
      <c r="CP10" s="8">
        <f t="shared" si="43"/>
        <v>44339.618148254522</v>
      </c>
      <c r="CQ10" s="8">
        <f t="shared" si="44"/>
        <v>189692.4373773578</v>
      </c>
      <c r="CS10" s="56">
        <v>39387</v>
      </c>
      <c r="CT10" s="8">
        <f t="shared" si="16"/>
        <v>4715.0771446824074</v>
      </c>
      <c r="CU10" s="8">
        <f t="shared" si="17"/>
        <v>46709.905464846204</v>
      </c>
      <c r="CV10" s="20">
        <f t="shared" si="18"/>
        <v>-37.336293188948076</v>
      </c>
      <c r="CW10" s="20">
        <f t="shared" si="19"/>
        <v>-75.181132082280612</v>
      </c>
      <c r="CX10">
        <v>0</v>
      </c>
      <c r="CY10" s="56">
        <v>39387</v>
      </c>
      <c r="CZ10" s="8">
        <f t="shared" si="20"/>
        <v>562.69999999999993</v>
      </c>
      <c r="DA10" s="8">
        <f t="shared" si="8"/>
        <v>5083.6853334653097</v>
      </c>
      <c r="DB10" s="8">
        <f t="shared" si="9"/>
        <v>3896.6786407546638</v>
      </c>
      <c r="DC10" s="8">
        <f t="shared" si="21"/>
        <v>1387.6260811495381</v>
      </c>
      <c r="DD10" s="8">
        <f t="shared" si="22"/>
        <v>3.6967192947540752</v>
      </c>
      <c r="DE10" s="8">
        <f t="shared" si="23"/>
        <v>-127.918270586777</v>
      </c>
      <c r="ED10" s="56">
        <v>39387</v>
      </c>
      <c r="EE10" s="8">
        <f t="shared" si="24"/>
        <v>4715.0771446824074</v>
      </c>
      <c r="EF10" s="8">
        <f t="shared" si="25"/>
        <v>46709.905464846204</v>
      </c>
      <c r="EG10" s="8">
        <f t="shared" si="26"/>
        <v>-75.181132082280612</v>
      </c>
      <c r="EH10" s="8">
        <f t="shared" si="40"/>
        <v>0</v>
      </c>
      <c r="EJ10" s="56">
        <v>39387</v>
      </c>
      <c r="EK10" s="8">
        <f t="shared" si="11"/>
        <v>562.69999999999993</v>
      </c>
      <c r="EL10" s="8">
        <f t="shared" si="27"/>
        <v>1133.9846668377404</v>
      </c>
    </row>
    <row r="11" spans="1:142" x14ac:dyDescent="0.25">
      <c r="A11" s="38">
        <v>2007</v>
      </c>
      <c r="B11" s="11">
        <v>53.421226501464844</v>
      </c>
      <c r="C11" s="11">
        <v>37.837735823865209</v>
      </c>
      <c r="D11" s="11">
        <v>23.084433951467837</v>
      </c>
      <c r="E11" s="11">
        <v>25.348584921854847</v>
      </c>
      <c r="F11" s="11">
        <v>26.232075452804565</v>
      </c>
      <c r="G11" s="11">
        <v>39.26698097193016</v>
      </c>
      <c r="H11" s="11">
        <v>0.35849056603773582</v>
      </c>
      <c r="I11" s="11">
        <v>28.892924556192362</v>
      </c>
      <c r="J11" s="11">
        <v>1.7641509433962264</v>
      </c>
      <c r="K11" s="11">
        <v>32.54245283018868</v>
      </c>
      <c r="L11" s="11">
        <v>61.259433962264154</v>
      </c>
      <c r="M11" s="11">
        <v>132.20283018867926</v>
      </c>
      <c r="N11" s="11">
        <v>462.21132067014594</v>
      </c>
      <c r="O11" s="11">
        <f t="shared" si="28"/>
        <v>154.40566024240456</v>
      </c>
      <c r="P11" s="11">
        <f t="shared" si="29"/>
        <v>114.3433962767979</v>
      </c>
      <c r="Q11" s="11">
        <f t="shared" si="30"/>
        <v>417.75943396226415</v>
      </c>
      <c r="R11" s="56">
        <v>36069</v>
      </c>
      <c r="S11" s="8">
        <v>370.59479522705101</v>
      </c>
      <c r="T11" s="8">
        <v>1.1366661787033101</v>
      </c>
      <c r="U11" s="8">
        <v>0</v>
      </c>
      <c r="V11" s="8">
        <v>102.75854377821091</v>
      </c>
      <c r="W11" s="8">
        <v>1694.1638488769531</v>
      </c>
      <c r="X11" s="8">
        <v>620.2757568359375</v>
      </c>
      <c r="Y11" s="8">
        <v>0</v>
      </c>
      <c r="Z11" s="8">
        <v>1117.8779296875</v>
      </c>
      <c r="AA11" s="8">
        <v>181.29296875</v>
      </c>
      <c r="AI11" s="56">
        <f>AB132</f>
        <v>39753</v>
      </c>
      <c r="AJ11" s="8">
        <f>AC132</f>
        <v>3558.2187309265141</v>
      </c>
      <c r="AK11" s="8">
        <f t="shared" ref="AK11" si="55">AD132</f>
        <v>79711.498855373822</v>
      </c>
      <c r="AL11" s="8">
        <f t="shared" si="13"/>
        <v>34.772641452242254</v>
      </c>
      <c r="AM11" s="11">
        <f t="shared" si="14"/>
        <v>23.226442686874407</v>
      </c>
      <c r="AN11" s="56">
        <v>39753</v>
      </c>
      <c r="AO11" s="8">
        <v>9199.3499999999967</v>
      </c>
      <c r="AP11" s="8">
        <f t="shared" si="2"/>
        <v>9390.5809784972371</v>
      </c>
      <c r="AQ11" s="8">
        <f t="shared" si="3"/>
        <v>9845.6002343425353</v>
      </c>
      <c r="AR11" s="8">
        <f t="shared" si="4"/>
        <v>10550.135935319173</v>
      </c>
      <c r="BF11" s="56">
        <v>36069</v>
      </c>
      <c r="BG11" s="8">
        <v>370.59479522705101</v>
      </c>
      <c r="BH11" s="8">
        <v>1.1366661787033101</v>
      </c>
      <c r="BI11" s="8">
        <v>0</v>
      </c>
      <c r="BJ11" s="8">
        <v>102.75854377821091</v>
      </c>
      <c r="BK11" s="8">
        <v>0</v>
      </c>
      <c r="BL11" s="8">
        <v>1779.44140625</v>
      </c>
      <c r="BM11" s="8">
        <v>7.1484375</v>
      </c>
      <c r="BN11" s="8">
        <v>3099.6376953125</v>
      </c>
      <c r="BO11" s="8">
        <v>0</v>
      </c>
      <c r="BV11" s="56">
        <f>BP132</f>
        <v>39753</v>
      </c>
      <c r="BW11" s="8">
        <f>BQ132</f>
        <v>3242.2475109100346</v>
      </c>
      <c r="BX11" s="8">
        <f t="shared" ref="BX11" si="56">BR132</f>
        <v>85152.872332852334</v>
      </c>
      <c r="BY11" s="8">
        <f>BS132</f>
        <v>89.983917236328097</v>
      </c>
      <c r="BZ11" s="20">
        <f t="shared" si="0"/>
        <v>23.226442686874407</v>
      </c>
      <c r="CA11" s="20">
        <f t="shared" si="6"/>
        <v>34.772641452242254</v>
      </c>
      <c r="CC11" s="56">
        <v>39753</v>
      </c>
      <c r="CD11" s="8">
        <f t="shared" si="7"/>
        <v>9199.3499999999967</v>
      </c>
      <c r="CF11" s="56">
        <v>39022</v>
      </c>
      <c r="CG11" s="8">
        <f>CP10+BX9+BY9+BQ109</f>
        <v>119227.04527782131</v>
      </c>
      <c r="CH11" s="11">
        <f t="shared" si="33"/>
        <v>170.61650944655798</v>
      </c>
      <c r="CI11" s="11">
        <f t="shared" si="34"/>
        <v>-149.95748823699273</v>
      </c>
      <c r="CJ11" s="8">
        <f t="shared" si="35"/>
        <v>10576.24</v>
      </c>
      <c r="CK11" s="8">
        <f t="shared" si="36"/>
        <v>95186.16</v>
      </c>
      <c r="CL11" s="8">
        <f t="shared" si="37"/>
        <v>111046.02385391612</v>
      </c>
      <c r="CM11" s="8">
        <f t="shared" si="38"/>
        <v>8181.0214239051857</v>
      </c>
      <c r="CN11" s="8">
        <f>BR109</f>
        <v>11494.240539893508</v>
      </c>
      <c r="CO11" s="8">
        <f t="shared" si="39"/>
        <v>19675.261963798694</v>
      </c>
      <c r="CP11" s="8">
        <f t="shared" si="43"/>
        <v>8181.0214239051857</v>
      </c>
      <c r="CQ11" s="8">
        <f t="shared" si="44"/>
        <v>98564.29266807466</v>
      </c>
      <c r="CS11" s="56">
        <v>39753</v>
      </c>
      <c r="CT11" s="8">
        <f t="shared" si="16"/>
        <v>3242.2475109100346</v>
      </c>
      <c r="CU11" s="8">
        <f t="shared" si="17"/>
        <v>140907.64183152502</v>
      </c>
      <c r="CV11" s="20">
        <f t="shared" si="18"/>
        <v>23.226442686874407</v>
      </c>
      <c r="CW11" s="20">
        <f t="shared" si="19"/>
        <v>34.772641452242254</v>
      </c>
      <c r="CX11">
        <v>0</v>
      </c>
      <c r="CY11" s="56">
        <v>39753</v>
      </c>
      <c r="CZ11" s="8">
        <f t="shared" si="20"/>
        <v>9199.3499999999967</v>
      </c>
      <c r="DA11" s="8">
        <f t="shared" si="8"/>
        <v>11533.21413953698</v>
      </c>
      <c r="DB11" s="8">
        <f t="shared" si="9"/>
        <v>11846.482301777651</v>
      </c>
      <c r="DC11" s="8">
        <f t="shared" si="21"/>
        <v>12147.400742952925</v>
      </c>
      <c r="DD11" s="8">
        <f t="shared" si="22"/>
        <v>10973.814215005323</v>
      </c>
      <c r="DE11" s="8">
        <f t="shared" si="23"/>
        <v>10515.248101408491</v>
      </c>
      <c r="ED11" s="56">
        <v>39753</v>
      </c>
      <c r="EE11" s="8">
        <f t="shared" si="24"/>
        <v>3242.2475109100346</v>
      </c>
      <c r="EF11" s="8">
        <f t="shared" si="25"/>
        <v>140907.64183152502</v>
      </c>
      <c r="EG11" s="8">
        <f t="shared" si="26"/>
        <v>34.772641452242254</v>
      </c>
      <c r="EH11" s="8">
        <f t="shared" si="40"/>
        <v>0</v>
      </c>
      <c r="EJ11" s="56">
        <v>39753</v>
      </c>
      <c r="EK11" s="8">
        <f t="shared" si="11"/>
        <v>9199.3499999999967</v>
      </c>
      <c r="EL11" s="8">
        <f t="shared" si="27"/>
        <v>10709.821390815669</v>
      </c>
    </row>
    <row r="12" spans="1:142" x14ac:dyDescent="0.25">
      <c r="A12" s="38">
        <v>2008</v>
      </c>
      <c r="B12" s="11">
        <v>85.45754716981132</v>
      </c>
      <c r="C12" s="11">
        <v>138.34905660377359</v>
      </c>
      <c r="D12" s="11">
        <v>0.49056603773584906</v>
      </c>
      <c r="E12" s="11">
        <v>4.7122641509433958</v>
      </c>
      <c r="F12" s="11">
        <v>15.235849056603774</v>
      </c>
      <c r="G12" s="11">
        <v>47.358490566037737</v>
      </c>
      <c r="H12" s="11">
        <v>49.890094451184545</v>
      </c>
      <c r="I12" s="11">
        <v>5.0023584894414217</v>
      </c>
      <c r="J12" s="11">
        <v>73.826414917999841</v>
      </c>
      <c r="K12" s="11">
        <v>18.942924486016327</v>
      </c>
      <c r="L12" s="11">
        <v>72.561792463626503</v>
      </c>
      <c r="M12" s="11">
        <v>46.408962375712846</v>
      </c>
      <c r="N12" s="11">
        <v>558.23632076888714</v>
      </c>
      <c r="O12" s="11">
        <f t="shared" si="28"/>
        <v>214.96839611822705</v>
      </c>
      <c r="P12" s="11">
        <f t="shared" si="29"/>
        <v>224.29716981132077</v>
      </c>
      <c r="Q12" s="11">
        <f t="shared" si="30"/>
        <v>298.34858494420655</v>
      </c>
      <c r="R12" s="56">
        <v>36100</v>
      </c>
      <c r="S12" s="8">
        <v>3771.8169841766367</v>
      </c>
      <c r="T12" s="8">
        <v>0</v>
      </c>
      <c r="U12" s="8">
        <v>0</v>
      </c>
      <c r="V12" s="8">
        <v>157.38852535188198</v>
      </c>
      <c r="W12" s="8">
        <v>2126.8453641533852</v>
      </c>
      <c r="X12" s="8">
        <v>0</v>
      </c>
      <c r="Y12" s="8">
        <v>0</v>
      </c>
      <c r="Z12" s="8">
        <v>0</v>
      </c>
      <c r="AA12" s="8">
        <v>27.86328125</v>
      </c>
      <c r="AL12" s="8">
        <f t="shared" ref="AL12:AL16" si="57">P13-$P$21</f>
        <v>-10.146698254211287</v>
      </c>
      <c r="AM12" s="11">
        <f t="shared" ref="AM12:AM16" si="58">O13-$O$21</f>
        <v>-7.4386518996014388</v>
      </c>
      <c r="BF12" s="56">
        <v>36100</v>
      </c>
      <c r="BG12" s="8">
        <v>3771.8169841766367</v>
      </c>
      <c r="BH12" s="8">
        <v>0</v>
      </c>
      <c r="BI12" s="8">
        <v>0</v>
      </c>
      <c r="BJ12" s="8">
        <v>157.38852535188198</v>
      </c>
      <c r="BK12" s="8">
        <v>0</v>
      </c>
      <c r="BL12" s="8">
        <v>129.80859375</v>
      </c>
      <c r="BM12" s="8">
        <v>0</v>
      </c>
      <c r="BN12" s="8">
        <v>2374.7816051840782</v>
      </c>
      <c r="BO12" s="8">
        <v>0</v>
      </c>
      <c r="BV12" s="56">
        <v>40118</v>
      </c>
      <c r="BW12" s="8">
        <f>BQ144</f>
        <v>4797.3448677957085</v>
      </c>
      <c r="BX12" s="8">
        <f>BR144</f>
        <v>85401.80617301914</v>
      </c>
      <c r="BY12" s="8">
        <f>BS144</f>
        <v>4388.4102783203134</v>
      </c>
      <c r="BZ12" s="20">
        <f t="shared" ref="BZ12:BZ16" si="59">AM12</f>
        <v>-7.4386518996014388</v>
      </c>
      <c r="CA12" s="20">
        <f t="shared" ref="CA12:CA16" si="60">AL12</f>
        <v>-10.146698254211287</v>
      </c>
      <c r="CC12" s="56">
        <v>40118</v>
      </c>
      <c r="CD12" s="8">
        <v>11309.199999999999</v>
      </c>
      <c r="CF12" s="56">
        <v>39387</v>
      </c>
      <c r="CG12" s="8">
        <f>CP11+BX10+BY10+BQ121</f>
        <v>60182.223131496023</v>
      </c>
      <c r="CH12" s="11">
        <f t="shared" si="33"/>
        <v>417.75943396226415</v>
      </c>
      <c r="CI12" s="11">
        <f t="shared" si="34"/>
        <v>97.185436278713439</v>
      </c>
      <c r="CJ12" s="8">
        <f t="shared" si="35"/>
        <v>562.69999999999993</v>
      </c>
      <c r="CK12" s="8">
        <f t="shared" si="36"/>
        <v>5064.2999999999993</v>
      </c>
      <c r="CL12" s="8">
        <f t="shared" si="37"/>
        <v>4517.4375500596789</v>
      </c>
      <c r="CM12" s="8">
        <f t="shared" si="38"/>
        <v>55664.785581436343</v>
      </c>
      <c r="CN12" s="8">
        <f>BR121</f>
        <v>84014.097925968468</v>
      </c>
      <c r="CO12" s="8">
        <f t="shared" si="39"/>
        <v>139678.88350740483</v>
      </c>
      <c r="CP12" s="8">
        <f t="shared" ref="CP12" si="61">IF(-CM12&gt;CN12,0,CM12)</f>
        <v>55664.785581436343</v>
      </c>
      <c r="CQ12" s="8">
        <f t="shared" si="44"/>
        <v>46709.905464846204</v>
      </c>
      <c r="CS12" s="56">
        <v>40118</v>
      </c>
      <c r="CT12" s="8">
        <f t="shared" si="16"/>
        <v>4797.3448677957085</v>
      </c>
      <c r="CU12" s="8">
        <f t="shared" si="17"/>
        <v>162492.87554587171</v>
      </c>
      <c r="CV12" s="20">
        <f t="shared" ref="CV12:CV16" si="62">BZ12</f>
        <v>-7.4386518996014388</v>
      </c>
      <c r="CW12" s="20">
        <f t="shared" ref="CW12:CW16" si="63">CA12</f>
        <v>-10.146698254211287</v>
      </c>
      <c r="CX12">
        <v>0</v>
      </c>
      <c r="CY12" s="56">
        <v>40118</v>
      </c>
      <c r="CZ12" s="8">
        <f t="shared" si="20"/>
        <v>11309.199999999999</v>
      </c>
      <c r="DE12" s="8">
        <f t="shared" si="23"/>
        <v>9190.0545174587896</v>
      </c>
      <c r="ED12" s="56">
        <v>40118</v>
      </c>
      <c r="EE12" s="8">
        <f t="shared" si="24"/>
        <v>4797.3448677957085</v>
      </c>
      <c r="EF12" s="8">
        <f t="shared" si="25"/>
        <v>162492.87554587171</v>
      </c>
      <c r="EG12" s="8">
        <f t="shared" si="26"/>
        <v>-10.146698254211287</v>
      </c>
      <c r="EH12" s="8">
        <f t="shared" si="40"/>
        <v>0</v>
      </c>
      <c r="EJ12" s="56">
        <v>40118</v>
      </c>
      <c r="EK12" s="8">
        <f t="shared" si="11"/>
        <v>11309.199999999999</v>
      </c>
      <c r="EL12" s="8">
        <f t="shared" si="27"/>
        <v>10609.245851121421</v>
      </c>
    </row>
    <row r="13" spans="1:142" x14ac:dyDescent="0.25">
      <c r="A13" s="38">
        <v>2009</v>
      </c>
      <c r="B13" s="11">
        <v>69.665565976556735</v>
      </c>
      <c r="C13" s="11">
        <v>108.04386790293567</v>
      </c>
      <c r="D13" s="11">
        <v>1.6683962253748246</v>
      </c>
      <c r="E13" s="11">
        <v>21.900943454706443</v>
      </c>
      <c r="F13" s="11">
        <v>87.524999690505695</v>
      </c>
      <c r="G13" s="11">
        <v>11.385849053005003</v>
      </c>
      <c r="H13" s="11">
        <v>9.0773584910158842</v>
      </c>
      <c r="I13" s="11">
        <v>1.9834905744723554</v>
      </c>
      <c r="J13" s="11">
        <v>31.882075363734984</v>
      </c>
      <c r="K13" s="11">
        <v>20.54858490431084</v>
      </c>
      <c r="L13" s="11">
        <v>10.423113221267485</v>
      </c>
      <c r="M13" s="11">
        <v>96.778773577708122</v>
      </c>
      <c r="N13" s="11">
        <v>470.88301843559407</v>
      </c>
      <c r="O13" s="11">
        <f t="shared" si="28"/>
        <v>184.3033015317512</v>
      </c>
      <c r="P13" s="11">
        <f t="shared" si="29"/>
        <v>179.37783010486723</v>
      </c>
      <c r="Q13" s="11">
        <f t="shared" si="30"/>
        <v>372.73349072910707</v>
      </c>
      <c r="R13" s="56">
        <v>36130</v>
      </c>
      <c r="S13" s="8">
        <v>6222.3129119873038</v>
      </c>
      <c r="T13" s="8">
        <v>0</v>
      </c>
      <c r="U13" s="8">
        <v>0</v>
      </c>
      <c r="V13" s="8">
        <v>455.21772462129587</v>
      </c>
      <c r="W13" s="8">
        <v>1268.7125565484166</v>
      </c>
      <c r="X13" s="8">
        <v>0</v>
      </c>
      <c r="Y13" s="8">
        <v>8449.7887268066443</v>
      </c>
      <c r="Z13" s="8">
        <v>0</v>
      </c>
      <c r="AA13" s="8">
        <v>0</v>
      </c>
      <c r="AL13" s="8">
        <f t="shared" si="57"/>
        <v>76.007075571052923</v>
      </c>
      <c r="AM13" s="11">
        <f t="shared" si="58"/>
        <v>101.80568845606476</v>
      </c>
      <c r="BF13" s="56">
        <v>36130</v>
      </c>
      <c r="BG13" s="8">
        <v>6222.3129119873038</v>
      </c>
      <c r="BH13" s="8">
        <v>0</v>
      </c>
      <c r="BI13" s="8">
        <v>0</v>
      </c>
      <c r="BJ13" s="8">
        <v>455.21772462129587</v>
      </c>
      <c r="BK13" s="8">
        <v>8631.2923431396521</v>
      </c>
      <c r="BL13" s="8">
        <v>0</v>
      </c>
      <c r="BM13" s="8">
        <v>0</v>
      </c>
      <c r="BN13" s="8">
        <v>979.22701472789049</v>
      </c>
      <c r="BO13" s="8">
        <v>0</v>
      </c>
      <c r="BV13" s="56">
        <v>40483</v>
      </c>
      <c r="BW13" s="8">
        <f>BQ156</f>
        <v>866.47156372167501</v>
      </c>
      <c r="BX13" s="8">
        <f>BR156</f>
        <v>251675.43498903606</v>
      </c>
      <c r="BY13" s="8">
        <f>BS156</f>
        <v>15507.638927459717</v>
      </c>
      <c r="BZ13" s="20">
        <f t="shared" si="59"/>
        <v>101.80568845606476</v>
      </c>
      <c r="CA13" s="20">
        <f t="shared" si="60"/>
        <v>76.007075571052923</v>
      </c>
      <c r="CC13" s="56">
        <v>40483</v>
      </c>
      <c r="CD13" s="8">
        <v>21268.19</v>
      </c>
      <c r="CF13" s="56">
        <v>39753</v>
      </c>
      <c r="CG13" s="8">
        <f>CP12+BX11+BY11+BQ133</f>
        <v>157541.40260136907</v>
      </c>
      <c r="CH13" s="11">
        <f t="shared" si="33"/>
        <v>298.34858494420655</v>
      </c>
      <c r="CI13" s="11">
        <f t="shared" si="34"/>
        <v>-22.225412739344165</v>
      </c>
      <c r="CJ13" s="8">
        <f t="shared" si="35"/>
        <v>9199.3499999999967</v>
      </c>
      <c r="CK13" s="8">
        <f t="shared" si="36"/>
        <v>82794.149999999965</v>
      </c>
      <c r="CL13" s="8">
        <f t="shared" si="37"/>
        <v>84838.743506836821</v>
      </c>
      <c r="CM13" s="8">
        <f t="shared" si="38"/>
        <v>72702.659094532253</v>
      </c>
      <c r="CN13" s="8">
        <f>BR133</f>
        <v>71581.06218098478</v>
      </c>
      <c r="CO13" s="8">
        <f t="shared" si="39"/>
        <v>144283.72127551702</v>
      </c>
      <c r="CP13" s="8">
        <f t="shared" ref="CP13" si="64">IF(-CM13&gt;CN13,0,CM13)</f>
        <v>72702.659094532253</v>
      </c>
      <c r="CQ13" s="8">
        <f t="shared" si="44"/>
        <v>140907.64183152502</v>
      </c>
      <c r="CS13" s="56">
        <v>40483</v>
      </c>
      <c r="CT13" s="8">
        <f t="shared" si="16"/>
        <v>866.47156372167501</v>
      </c>
      <c r="CU13" s="8">
        <f t="shared" si="17"/>
        <v>333791.97084987554</v>
      </c>
      <c r="CV13" s="20">
        <f t="shared" si="62"/>
        <v>101.80568845606476</v>
      </c>
      <c r="CW13" s="20">
        <f t="shared" si="63"/>
        <v>76.007075571052923</v>
      </c>
      <c r="CX13">
        <v>0</v>
      </c>
      <c r="CY13" s="56">
        <v>40483</v>
      </c>
      <c r="CZ13" s="8">
        <f t="shared" si="20"/>
        <v>21268.19</v>
      </c>
      <c r="DE13" s="8">
        <f t="shared" si="23"/>
        <v>20739.188033284539</v>
      </c>
      <c r="ED13" s="56">
        <v>40483</v>
      </c>
      <c r="EE13" s="8">
        <f t="shared" si="24"/>
        <v>866.47156372167501</v>
      </c>
      <c r="EF13" s="8">
        <f t="shared" si="25"/>
        <v>333791.97084987554</v>
      </c>
      <c r="EG13" s="8">
        <f t="shared" si="26"/>
        <v>76.007075571052923</v>
      </c>
      <c r="EH13" s="8">
        <f t="shared" si="40"/>
        <v>0</v>
      </c>
      <c r="EJ13" s="56">
        <v>40483</v>
      </c>
      <c r="EK13" s="8">
        <f t="shared" si="11"/>
        <v>21268.19</v>
      </c>
      <c r="EL13" s="8">
        <f t="shared" si="27"/>
        <v>22895.443825187638</v>
      </c>
    </row>
    <row r="14" spans="1:142" x14ac:dyDescent="0.25">
      <c r="A14" s="38">
        <v>2010</v>
      </c>
      <c r="B14" s="11">
        <v>39.020282880315243</v>
      </c>
      <c r="C14" s="11">
        <v>113.77500012235821</v>
      </c>
      <c r="D14" s="11">
        <v>112.736320927458</v>
      </c>
      <c r="E14" s="11">
        <v>11.436320721540811</v>
      </c>
      <c r="F14" s="11">
        <v>20.838207586756294</v>
      </c>
      <c r="G14" s="11">
        <v>13.676415124029484</v>
      </c>
      <c r="H14" s="11">
        <v>67.257075741605945</v>
      </c>
      <c r="I14" s="11">
        <v>38.377830361420251</v>
      </c>
      <c r="J14" s="11">
        <v>72.610377221737266</v>
      </c>
      <c r="K14" s="11">
        <v>69.351415130327339</v>
      </c>
      <c r="L14" s="11">
        <v>112.18490564598227</v>
      </c>
      <c r="M14" s="11">
        <v>67.1613205783772</v>
      </c>
      <c r="N14" s="11">
        <v>738.42547204190828</v>
      </c>
      <c r="O14" s="11">
        <f t="shared" si="28"/>
        <v>293.5476418874174</v>
      </c>
      <c r="P14" s="11">
        <f t="shared" si="29"/>
        <v>265.53160393013144</v>
      </c>
      <c r="Q14" s="11">
        <f t="shared" si="30"/>
        <v>294.25047149298325</v>
      </c>
      <c r="R14" s="56">
        <v>36161</v>
      </c>
      <c r="S14" s="8">
        <v>12781.720699906817</v>
      </c>
      <c r="T14" s="8">
        <v>33.193458557128942</v>
      </c>
      <c r="U14" s="8">
        <v>0</v>
      </c>
      <c r="V14" s="8">
        <v>0</v>
      </c>
      <c r="W14" s="8">
        <v>11568.923329889776</v>
      </c>
      <c r="X14" s="8">
        <v>0</v>
      </c>
      <c r="Y14" s="8">
        <v>19454.814922332764</v>
      </c>
      <c r="Z14" s="8">
        <v>1687.0920181274403</v>
      </c>
      <c r="AA14" s="8">
        <v>0</v>
      </c>
      <c r="AL14" s="8">
        <f t="shared" si="57"/>
        <v>-74.620283090454734</v>
      </c>
      <c r="AM14" s="11">
        <f t="shared" si="58"/>
        <v>58.302858235783788</v>
      </c>
      <c r="BF14" s="56">
        <v>36161</v>
      </c>
      <c r="BG14" s="8">
        <v>12781.720699906817</v>
      </c>
      <c r="BH14" s="8">
        <v>33.193458557128942</v>
      </c>
      <c r="BI14" s="8">
        <v>0</v>
      </c>
      <c r="BJ14" s="8">
        <v>0</v>
      </c>
      <c r="BK14" s="8">
        <v>19815.221767425544</v>
      </c>
      <c r="BL14" s="8">
        <v>0</v>
      </c>
      <c r="BM14" s="8">
        <v>0</v>
      </c>
      <c r="BN14" s="8">
        <v>9615.5520232021845</v>
      </c>
      <c r="BO14" s="8">
        <v>0</v>
      </c>
      <c r="BV14" s="56">
        <v>40848</v>
      </c>
      <c r="BW14" s="8">
        <f>BQ168</f>
        <v>25921.109222099654</v>
      </c>
      <c r="BX14" s="8">
        <f>BR168</f>
        <v>143761.98028332926</v>
      </c>
      <c r="BY14" s="8">
        <f>BS168</f>
        <v>3535.139404296875</v>
      </c>
      <c r="BZ14" s="20">
        <f t="shared" si="59"/>
        <v>58.302858235783788</v>
      </c>
      <c r="CA14" s="20">
        <f t="shared" si="60"/>
        <v>-74.620283090454734</v>
      </c>
      <c r="CC14" s="56">
        <v>40848</v>
      </c>
      <c r="CD14" s="8">
        <v>23442.26</v>
      </c>
      <c r="CF14" s="56">
        <v>40118</v>
      </c>
      <c r="CG14" s="8">
        <f t="shared" ref="CG14:CG18" si="65">CP13+BX12+BY12+BQ134</f>
        <v>162492.87554587171</v>
      </c>
      <c r="CH14" s="11">
        <f t="shared" ref="CH14:CH18" si="66">Q13</f>
        <v>372.73349072910707</v>
      </c>
      <c r="CI14" s="11">
        <f t="shared" ref="CI14:CI18" si="67">CH14-$Q$21</f>
        <v>52.15949304555636</v>
      </c>
      <c r="CJ14" s="8">
        <f t="shared" ref="CJ14:CJ18" si="68">CD12</f>
        <v>11309.199999999999</v>
      </c>
      <c r="CK14" s="8">
        <f t="shared" ref="CK14:CK18" si="69">CJ14*$CL$1</f>
        <v>101782.79999999999</v>
      </c>
      <c r="CL14" s="8">
        <f t="shared" ref="CL14:CL18" si="70">CK14-(CJ14*(CI14/100))</f>
        <v>95883.978612491934</v>
      </c>
      <c r="CM14" s="8">
        <f t="shared" ref="CM14:CM18" si="71">CG14-CL14</f>
        <v>66608.896933379772</v>
      </c>
      <c r="CN14" s="8">
        <f>BR145</f>
        <v>115028.86575838175</v>
      </c>
      <c r="CO14" s="8">
        <f t="shared" ref="CO14:CO18" si="72">CM14+CN14</f>
        <v>181637.76269176154</v>
      </c>
      <c r="CP14" s="8">
        <f t="shared" ref="CP14:CP18" si="73">IF(-CM14&gt;CN14,0,CM14)</f>
        <v>66608.896933379772</v>
      </c>
      <c r="CQ14" s="8">
        <f t="shared" ref="CQ14:CQ18" si="74">CP13+BX12+BY12</f>
        <v>162492.87554587171</v>
      </c>
      <c r="CS14" s="56">
        <v>40848</v>
      </c>
      <c r="CT14" s="8">
        <f t="shared" si="16"/>
        <v>25921.109222099654</v>
      </c>
      <c r="CU14" s="8">
        <f t="shared" si="17"/>
        <v>284076.84297259204</v>
      </c>
      <c r="CV14" s="20">
        <f t="shared" si="62"/>
        <v>58.302858235783788</v>
      </c>
      <c r="CW14" s="20">
        <f t="shared" si="63"/>
        <v>-74.620283090454734</v>
      </c>
      <c r="CX14">
        <v>0</v>
      </c>
      <c r="CY14" s="56">
        <v>40848</v>
      </c>
      <c r="CZ14" s="8">
        <f t="shared" si="20"/>
        <v>23442.26</v>
      </c>
      <c r="DE14" s="8">
        <f t="shared" si="23"/>
        <v>25554.493477073374</v>
      </c>
      <c r="ED14" s="56">
        <v>40848</v>
      </c>
      <c r="EE14" s="8">
        <f t="shared" si="24"/>
        <v>25921.109222099654</v>
      </c>
      <c r="EF14" s="8">
        <f t="shared" si="25"/>
        <v>284076.84297259204</v>
      </c>
      <c r="EG14" s="8">
        <f t="shared" si="26"/>
        <v>-74.620283090454734</v>
      </c>
      <c r="EH14" s="8">
        <f t="shared" si="40"/>
        <v>0</v>
      </c>
      <c r="EJ14" s="56">
        <v>40848</v>
      </c>
      <c r="EK14" s="8">
        <f t="shared" si="11"/>
        <v>23442.26</v>
      </c>
      <c r="EL14" s="8">
        <f t="shared" si="27"/>
        <v>21876.331601877886</v>
      </c>
    </row>
    <row r="15" spans="1:142" x14ac:dyDescent="0.25">
      <c r="A15" s="38">
        <v>2011</v>
      </c>
      <c r="B15" s="11">
        <v>47.46556602783923</v>
      </c>
      <c r="C15" s="11">
        <v>37.350471681019044</v>
      </c>
      <c r="D15" s="11">
        <v>30.088207559765511</v>
      </c>
      <c r="E15" s="11">
        <v>29.208962305536811</v>
      </c>
      <c r="F15" s="11">
        <v>25.550471710708905</v>
      </c>
      <c r="G15" s="11">
        <v>19.408962267749715</v>
      </c>
      <c r="H15" s="11">
        <v>17.02783020937218</v>
      </c>
      <c r="I15" s="11">
        <v>37.548113274124432</v>
      </c>
      <c r="J15" s="11">
        <v>72.438679371239999</v>
      </c>
      <c r="K15" s="11">
        <v>48.861792528404379</v>
      </c>
      <c r="L15" s="11">
        <v>168.48537765358978</v>
      </c>
      <c r="M15" s="11">
        <v>164.84716987609863</v>
      </c>
      <c r="N15" s="11">
        <v>698.28160446544859</v>
      </c>
      <c r="O15" s="11">
        <f t="shared" si="28"/>
        <v>250.04481166713643</v>
      </c>
      <c r="P15" s="11">
        <f t="shared" si="29"/>
        <v>114.90424526862378</v>
      </c>
      <c r="Q15" s="11">
        <f t="shared" si="30"/>
        <v>615.86226457020018</v>
      </c>
      <c r="R15" s="56">
        <v>36192</v>
      </c>
      <c r="S15" s="8">
        <v>8168.246908395553</v>
      </c>
      <c r="T15" s="8">
        <v>0</v>
      </c>
      <c r="U15" s="8">
        <v>0</v>
      </c>
      <c r="V15" s="8">
        <v>2454.3540733456612</v>
      </c>
      <c r="W15" s="8">
        <v>4611.1065179705611</v>
      </c>
      <c r="X15" s="8">
        <v>0</v>
      </c>
      <c r="Y15" s="8">
        <v>4125.8263511657733</v>
      </c>
      <c r="Z15" s="8">
        <v>0</v>
      </c>
      <c r="AA15" s="8">
        <v>0</v>
      </c>
      <c r="AL15" s="8">
        <f t="shared" si="57"/>
        <v>93.005188681433282</v>
      </c>
      <c r="AM15" s="11">
        <f t="shared" si="58"/>
        <v>-22.163179793927441</v>
      </c>
      <c r="BF15" s="56">
        <v>36192</v>
      </c>
      <c r="BG15" s="8">
        <v>8168.246908395553</v>
      </c>
      <c r="BH15" s="8">
        <v>0</v>
      </c>
      <c r="BI15" s="8">
        <v>0</v>
      </c>
      <c r="BJ15" s="8">
        <v>2454.3540733456612</v>
      </c>
      <c r="BK15" s="8">
        <v>5060.351864337923</v>
      </c>
      <c r="BL15" s="8">
        <v>0</v>
      </c>
      <c r="BM15" s="8">
        <v>0</v>
      </c>
      <c r="BN15" s="8">
        <v>5538.0570963174159</v>
      </c>
      <c r="BO15" s="8">
        <v>0</v>
      </c>
      <c r="BV15" s="56">
        <v>41214</v>
      </c>
      <c r="BW15" s="8">
        <f>BQ180</f>
        <v>15107.33991622925</v>
      </c>
      <c r="BX15" s="8">
        <f>BR180</f>
        <v>146123.07335008681</v>
      </c>
      <c r="BY15" s="8">
        <f>BS180</f>
        <v>4871.6273651123056</v>
      </c>
      <c r="BZ15" s="20">
        <f t="shared" si="59"/>
        <v>-22.163179793927441</v>
      </c>
      <c r="CA15" s="20">
        <f t="shared" si="60"/>
        <v>93.005188681433282</v>
      </c>
      <c r="CC15" s="56">
        <v>41214</v>
      </c>
      <c r="CD15" s="8">
        <v>24645.68</v>
      </c>
      <c r="CF15" s="56">
        <v>40483</v>
      </c>
      <c r="CG15" s="8">
        <f t="shared" si="65"/>
        <v>333791.97084987554</v>
      </c>
      <c r="CH15" s="11">
        <f t="shared" si="66"/>
        <v>294.25047149298325</v>
      </c>
      <c r="CI15" s="11">
        <f t="shared" si="67"/>
        <v>-26.323526190567463</v>
      </c>
      <c r="CJ15" s="8">
        <f t="shared" si="68"/>
        <v>21268.19</v>
      </c>
      <c r="CK15" s="8">
        <f t="shared" si="69"/>
        <v>191413.71</v>
      </c>
      <c r="CL15" s="8">
        <f t="shared" si="70"/>
        <v>197012.24756490963</v>
      </c>
      <c r="CM15" s="8">
        <f t="shared" si="71"/>
        <v>136779.7232849659</v>
      </c>
      <c r="CN15" s="8">
        <f>BR157</f>
        <v>119610.93040454388</v>
      </c>
      <c r="CO15" s="8">
        <f t="shared" si="72"/>
        <v>256390.65368950978</v>
      </c>
      <c r="CP15" s="8">
        <f t="shared" si="73"/>
        <v>136779.7232849659</v>
      </c>
      <c r="CQ15" s="8">
        <f t="shared" si="74"/>
        <v>333791.97084987554</v>
      </c>
      <c r="CS15" s="56">
        <v>41214</v>
      </c>
      <c r="CT15" s="8">
        <f t="shared" si="16"/>
        <v>15107.33991622925</v>
      </c>
      <c r="CU15" s="8">
        <f t="shared" si="17"/>
        <v>293313.44696085341</v>
      </c>
      <c r="CV15" s="20">
        <f t="shared" si="62"/>
        <v>-22.163179793927441</v>
      </c>
      <c r="CW15" s="20">
        <f t="shared" si="63"/>
        <v>93.005188681433282</v>
      </c>
      <c r="CX15">
        <v>0</v>
      </c>
      <c r="CY15" s="56">
        <v>41214</v>
      </c>
      <c r="CZ15" s="8">
        <f t="shared" si="20"/>
        <v>24645.68</v>
      </c>
      <c r="DE15" s="8">
        <f t="shared" si="23"/>
        <v>27565.174579700655</v>
      </c>
      <c r="ED15" s="56">
        <v>41214</v>
      </c>
      <c r="EE15" s="8">
        <f t="shared" si="24"/>
        <v>15107.33991622925</v>
      </c>
      <c r="EF15" s="8">
        <f t="shared" si="25"/>
        <v>293313.44696085341</v>
      </c>
      <c r="EG15" s="8">
        <f t="shared" si="26"/>
        <v>93.005188681433282</v>
      </c>
      <c r="EH15" s="8">
        <f t="shared" si="40"/>
        <v>0</v>
      </c>
      <c r="EJ15" s="56">
        <v>41214</v>
      </c>
      <c r="EK15" s="8">
        <f t="shared" si="11"/>
        <v>24645.68</v>
      </c>
      <c r="EL15" s="8">
        <f t="shared" si="27"/>
        <v>25860.833025992433</v>
      </c>
    </row>
    <row r="16" spans="1:142" x14ac:dyDescent="0.25">
      <c r="A16" s="38">
        <v>2012</v>
      </c>
      <c r="B16" s="11">
        <v>89.117924708240437</v>
      </c>
      <c r="C16" s="11">
        <v>175.34669800524441</v>
      </c>
      <c r="D16" s="11">
        <v>18.065094327026944</v>
      </c>
      <c r="E16" s="11">
        <v>35.9533018436072</v>
      </c>
      <c r="F16" s="11">
        <v>34.133962343323908</v>
      </c>
      <c r="G16" s="11">
        <v>34.810377444861068</v>
      </c>
      <c r="H16" s="11">
        <v>46.131603726800883</v>
      </c>
      <c r="I16" s="11">
        <v>2.893396218430321</v>
      </c>
      <c r="J16" s="11">
        <v>7.4452830069469957</v>
      </c>
      <c r="K16" s="11">
        <v>8.2108490534548491</v>
      </c>
      <c r="L16" s="11">
        <v>12.676886820568228</v>
      </c>
      <c r="M16" s="11">
        <v>43.658962240758932</v>
      </c>
      <c r="N16" s="11">
        <v>508.44433973926425</v>
      </c>
      <c r="O16" s="11">
        <f t="shared" si="28"/>
        <v>169.5787736374252</v>
      </c>
      <c r="P16" s="11">
        <f t="shared" si="29"/>
        <v>282.5297170405118</v>
      </c>
      <c r="Q16" s="11">
        <f t="shared" si="30"/>
        <v>264.73066045765609</v>
      </c>
      <c r="R16" s="56">
        <v>36220</v>
      </c>
      <c r="S16" s="8">
        <v>1123.7675965309622</v>
      </c>
      <c r="T16" s="8">
        <v>4067.9223346710205</v>
      </c>
      <c r="U16" s="8">
        <v>0</v>
      </c>
      <c r="V16" s="8">
        <v>243.59878158569379</v>
      </c>
      <c r="W16" s="8">
        <v>50777.368214130387</v>
      </c>
      <c r="X16" s="8">
        <v>6124.0853576660156</v>
      </c>
      <c r="Y16" s="8">
        <v>0</v>
      </c>
      <c r="Z16" s="8">
        <v>19257.640594482422</v>
      </c>
      <c r="AA16" s="8">
        <v>170.5</v>
      </c>
      <c r="AL16" s="8">
        <f t="shared" si="57"/>
        <v>18.870283037250402</v>
      </c>
      <c r="AM16" s="11">
        <f t="shared" si="58"/>
        <v>-69.24714213376501</v>
      </c>
      <c r="BF16" s="56">
        <v>36220</v>
      </c>
      <c r="BG16" s="8">
        <v>1123.7675965309622</v>
      </c>
      <c r="BH16" s="8">
        <v>4067.9223346710205</v>
      </c>
      <c r="BI16" s="8">
        <v>0</v>
      </c>
      <c r="BJ16" s="8">
        <v>243.59878158569379</v>
      </c>
      <c r="BK16" s="8">
        <v>0</v>
      </c>
      <c r="BL16" s="8">
        <v>21451.676956176758</v>
      </c>
      <c r="BM16" s="8">
        <v>178.25</v>
      </c>
      <c r="BN16" s="8">
        <v>56369.768809556947</v>
      </c>
      <c r="BO16" s="8">
        <v>6016.0014038085947</v>
      </c>
      <c r="BV16" s="56">
        <v>41579</v>
      </c>
      <c r="BW16" s="8">
        <f>BQ192</f>
        <v>20585.575901961889</v>
      </c>
      <c r="BX16" s="8">
        <f>BR192</f>
        <v>240881.72632312588</v>
      </c>
      <c r="BY16" s="8">
        <f>BS192</f>
        <v>17995.579683303833</v>
      </c>
      <c r="BZ16" s="20">
        <f t="shared" si="59"/>
        <v>-69.24714213376501</v>
      </c>
      <c r="CA16" s="20">
        <f t="shared" si="60"/>
        <v>18.870283037250402</v>
      </c>
      <c r="CC16" s="56">
        <v>41579</v>
      </c>
      <c r="CD16" s="8">
        <v>23277.229999999996</v>
      </c>
      <c r="CF16" s="56">
        <v>40848</v>
      </c>
      <c r="CG16" s="8">
        <f t="shared" si="65"/>
        <v>284076.84297259204</v>
      </c>
      <c r="CH16" s="11">
        <f t="shared" si="66"/>
        <v>615.86226457020018</v>
      </c>
      <c r="CI16" s="11">
        <f t="shared" si="67"/>
        <v>295.28826688664947</v>
      </c>
      <c r="CJ16" s="8">
        <f t="shared" si="68"/>
        <v>23442.26</v>
      </c>
      <c r="CK16" s="8">
        <f t="shared" si="69"/>
        <v>210980.34</v>
      </c>
      <c r="CL16" s="8">
        <f t="shared" si="70"/>
        <v>141758.09672693774</v>
      </c>
      <c r="CM16" s="8">
        <f t="shared" si="71"/>
        <v>142318.7462456543</v>
      </c>
      <c r="CN16" s="8">
        <f>BR169</f>
        <v>135173.04687730223</v>
      </c>
      <c r="CO16" s="8">
        <f t="shared" si="72"/>
        <v>277491.79312295653</v>
      </c>
      <c r="CP16" s="8">
        <f t="shared" si="73"/>
        <v>142318.7462456543</v>
      </c>
      <c r="CQ16" s="8">
        <f t="shared" si="74"/>
        <v>284076.84297259204</v>
      </c>
      <c r="CS16" s="56">
        <v>41579</v>
      </c>
      <c r="CT16" s="8">
        <f t="shared" si="16"/>
        <v>20585.575901961889</v>
      </c>
      <c r="CU16" s="8">
        <f t="shared" si="17"/>
        <v>316616.6627732683</v>
      </c>
      <c r="CV16" s="20">
        <f t="shared" si="62"/>
        <v>-69.24714213376501</v>
      </c>
      <c r="CW16" s="20">
        <f t="shared" si="63"/>
        <v>18.870283037250402</v>
      </c>
      <c r="CX16">
        <v>0</v>
      </c>
      <c r="CY16" s="56">
        <v>41579</v>
      </c>
      <c r="CZ16" s="8">
        <f t="shared" si="20"/>
        <v>23277.229999999996</v>
      </c>
      <c r="DE16" s="8">
        <f t="shared" si="23"/>
        <v>26881.001897406484</v>
      </c>
      <c r="ED16" s="56">
        <v>41579</v>
      </c>
      <c r="EE16" s="8">
        <f t="shared" si="24"/>
        <v>20585.575901961889</v>
      </c>
      <c r="EF16" s="8">
        <f t="shared" si="25"/>
        <v>316616.6627732683</v>
      </c>
      <c r="EG16" s="8">
        <f t="shared" si="26"/>
        <v>18.870283037250402</v>
      </c>
      <c r="EH16" s="8">
        <f t="shared" si="40"/>
        <v>0</v>
      </c>
      <c r="EJ16" s="56">
        <v>41579</v>
      </c>
      <c r="EK16" s="8">
        <f t="shared" si="11"/>
        <v>23277.229999999996</v>
      </c>
      <c r="EL16" s="8">
        <f t="shared" si="27"/>
        <v>25921.140271098331</v>
      </c>
    </row>
    <row r="17" spans="1:141" x14ac:dyDescent="0.25">
      <c r="A17" s="38">
        <v>2013</v>
      </c>
      <c r="B17" s="11">
        <v>71.904245394580769</v>
      </c>
      <c r="C17" s="11">
        <v>32.123584891265295</v>
      </c>
      <c r="D17" s="11">
        <v>104.36698111048284</v>
      </c>
      <c r="E17" s="11">
        <v>5.1745283052606403</v>
      </c>
      <c r="F17" s="11">
        <v>31.634433845304095</v>
      </c>
      <c r="G17" s="11">
        <v>33.937735872448613</v>
      </c>
      <c r="H17" s="11">
        <v>16.849528335175425</v>
      </c>
      <c r="I17" s="11">
        <v>6.9735849218548465</v>
      </c>
      <c r="J17" s="11">
        <v>20.683018882319612</v>
      </c>
      <c r="K17" s="11">
        <v>7.2419811352243961</v>
      </c>
      <c r="L17" s="11">
        <v>39.576886815844844</v>
      </c>
      <c r="M17" s="11">
        <v>13.175471688216588</v>
      </c>
      <c r="N17" s="11">
        <v>383.64198119797805</v>
      </c>
      <c r="O17" s="11">
        <f t="shared" si="28"/>
        <v>122.49481129758763</v>
      </c>
      <c r="P17" s="11">
        <f t="shared" si="29"/>
        <v>208.39481139632892</v>
      </c>
      <c r="Q17" s="11">
        <f t="shared" si="30"/>
        <v>237.66509421816414</v>
      </c>
      <c r="R17" s="56">
        <v>36251</v>
      </c>
      <c r="S17" s="8">
        <v>49.061509132385261</v>
      </c>
      <c r="T17" s="8">
        <v>0</v>
      </c>
      <c r="U17" s="8">
        <v>0</v>
      </c>
      <c r="V17" s="8">
        <v>142.02294921875</v>
      </c>
      <c r="W17" s="8">
        <v>3454.4049072265639</v>
      </c>
      <c r="X17" s="8">
        <v>0</v>
      </c>
      <c r="Y17" s="8">
        <v>0</v>
      </c>
      <c r="Z17" s="8">
        <v>0</v>
      </c>
      <c r="AA17" s="8">
        <v>0</v>
      </c>
      <c r="BF17" s="56">
        <v>36251</v>
      </c>
      <c r="BG17" s="8">
        <v>49.061509132385261</v>
      </c>
      <c r="BH17" s="8">
        <v>0</v>
      </c>
      <c r="BI17" s="8">
        <v>0</v>
      </c>
      <c r="BJ17" s="8">
        <v>142.02294921875</v>
      </c>
      <c r="BK17" s="8">
        <v>0</v>
      </c>
      <c r="BL17" s="8">
        <v>0</v>
      </c>
      <c r="BM17" s="8">
        <v>0</v>
      </c>
      <c r="BN17" s="8">
        <v>3291.5952186584459</v>
      </c>
      <c r="BO17" s="8">
        <v>0</v>
      </c>
      <c r="CF17" s="56">
        <v>41214</v>
      </c>
      <c r="CG17" s="8">
        <f t="shared" si="65"/>
        <v>293313.44696085341</v>
      </c>
      <c r="CH17" s="11">
        <f t="shared" si="66"/>
        <v>264.73066045765609</v>
      </c>
      <c r="CI17" s="11">
        <f t="shared" si="67"/>
        <v>-55.843337225894629</v>
      </c>
      <c r="CJ17" s="8">
        <f t="shared" si="68"/>
        <v>24645.68</v>
      </c>
      <c r="CK17" s="8">
        <f t="shared" si="69"/>
        <v>221811.12</v>
      </c>
      <c r="CL17" s="8">
        <f t="shared" si="70"/>
        <v>235574.09019401486</v>
      </c>
      <c r="CM17" s="8">
        <f t="shared" si="71"/>
        <v>57739.356766838551</v>
      </c>
      <c r="CN17" s="8">
        <f>BR181</f>
        <v>248591.82685299963</v>
      </c>
      <c r="CO17" s="8">
        <f t="shared" si="72"/>
        <v>306331.18361983821</v>
      </c>
      <c r="CP17" s="8">
        <f t="shared" si="73"/>
        <v>57739.356766838551</v>
      </c>
      <c r="CQ17" s="8">
        <f t="shared" si="74"/>
        <v>293313.44696085341</v>
      </c>
    </row>
    <row r="18" spans="1:141" x14ac:dyDescent="0.25">
      <c r="A18" s="38">
        <v>2014</v>
      </c>
      <c r="B18" s="11">
        <v>14.314150990180249</v>
      </c>
      <c r="C18" s="11">
        <v>33.868396246208334</v>
      </c>
      <c r="D18" s="11">
        <v>136.73018847771411</v>
      </c>
      <c r="E18" s="11">
        <v>5.6787736057391704</v>
      </c>
      <c r="F18" s="11">
        <v>11.273113199562397</v>
      </c>
      <c r="G18" s="11">
        <v>22.916037761940146</v>
      </c>
      <c r="H18" s="11">
        <v>7.0787735682613446</v>
      </c>
      <c r="I18" s="11">
        <v>24.962264177934181</v>
      </c>
      <c r="J18" s="11">
        <v>24.227830158089692</v>
      </c>
      <c r="K18" s="11">
        <v>1.0608490519928482</v>
      </c>
      <c r="L18" s="11">
        <v>13.722169817618603</v>
      </c>
      <c r="M18" s="11">
        <v>56.160848923449244</v>
      </c>
      <c r="N18" s="11">
        <v>351.99339597869033</v>
      </c>
      <c r="O18" s="11">
        <f t="shared" si="28"/>
        <v>97.197641523519778</v>
      </c>
      <c r="P18" s="11">
        <f t="shared" si="29"/>
        <v>184.91273571410269</v>
      </c>
      <c r="Q18" s="11">
        <f t="shared" si="30"/>
        <v>212.31226404545441</v>
      </c>
      <c r="R18" s="56">
        <v>36281</v>
      </c>
      <c r="S18" s="8">
        <v>0</v>
      </c>
      <c r="T18" s="8">
        <v>0</v>
      </c>
      <c r="U18" s="8">
        <v>0</v>
      </c>
      <c r="V18" s="8">
        <v>21.07421875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BF18" s="56">
        <v>36281</v>
      </c>
      <c r="BG18" s="8">
        <v>0</v>
      </c>
      <c r="BH18" s="8">
        <v>0</v>
      </c>
      <c r="BI18" s="8">
        <v>0</v>
      </c>
      <c r="BJ18" s="8">
        <v>21.07421875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CF18" s="56">
        <v>41579</v>
      </c>
      <c r="CG18" s="8">
        <f t="shared" si="65"/>
        <v>316616.6627732683</v>
      </c>
      <c r="CH18" s="11">
        <f t="shared" si="66"/>
        <v>237.66509421816414</v>
      </c>
      <c r="CI18" s="11">
        <f t="shared" si="67"/>
        <v>-82.908903465386572</v>
      </c>
      <c r="CJ18" s="8">
        <f t="shared" si="68"/>
        <v>23277.229999999996</v>
      </c>
      <c r="CK18" s="8">
        <f t="shared" si="69"/>
        <v>209495.06999999995</v>
      </c>
      <c r="CL18" s="8">
        <f t="shared" si="70"/>
        <v>228793.96615011594</v>
      </c>
      <c r="CM18" s="8">
        <f t="shared" si="71"/>
        <v>87822.696623152355</v>
      </c>
      <c r="CN18" s="8">
        <f>BR193</f>
        <v>16924.05715671182</v>
      </c>
      <c r="CO18" s="8">
        <f t="shared" si="72"/>
        <v>104746.75377986417</v>
      </c>
      <c r="CP18" s="8">
        <f t="shared" si="73"/>
        <v>87822.696623152355</v>
      </c>
      <c r="CQ18" s="8">
        <f t="shared" si="74"/>
        <v>316616.6627732683</v>
      </c>
      <c r="CT18" t="s">
        <v>527</v>
      </c>
      <c r="CU18" t="s">
        <v>271</v>
      </c>
      <c r="CY18" s="24" t="s">
        <v>533</v>
      </c>
      <c r="CZ18" s="24" t="s">
        <v>530</v>
      </c>
      <c r="DA18" s="24" t="s">
        <v>527</v>
      </c>
      <c r="DB18" s="24" t="s">
        <v>271</v>
      </c>
      <c r="DE18" s="24" t="s">
        <v>571</v>
      </c>
      <c r="DF18" s="24" t="s">
        <v>533</v>
      </c>
      <c r="DG18" s="24" t="s">
        <v>530</v>
      </c>
      <c r="DH18" s="24" t="s">
        <v>527</v>
      </c>
      <c r="DI18" s="24" t="s">
        <v>271</v>
      </c>
      <c r="DJ18" s="24"/>
      <c r="DK18" s="24" t="s">
        <v>571</v>
      </c>
      <c r="DL18" s="24" t="s">
        <v>533</v>
      </c>
      <c r="DM18" s="24" t="s">
        <v>530</v>
      </c>
      <c r="DN18" s="24" t="s">
        <v>527</v>
      </c>
      <c r="DO18" s="24" t="s">
        <v>271</v>
      </c>
      <c r="EE18" s="23" t="s">
        <v>569</v>
      </c>
      <c r="EF18" s="23" t="s">
        <v>564</v>
      </c>
      <c r="EG18" s="23" t="s">
        <v>527</v>
      </c>
      <c r="EH18" s="23" t="s">
        <v>528</v>
      </c>
    </row>
    <row r="19" spans="1:141" x14ac:dyDescent="0.25">
      <c r="A19" s="38">
        <v>2015</v>
      </c>
      <c r="B19" s="11">
        <v>99.032075450105481</v>
      </c>
      <c r="C19" s="11">
        <v>8.7386792504562525</v>
      </c>
      <c r="D19" s="11">
        <v>34.658490603824831</v>
      </c>
      <c r="E19" s="11">
        <v>82.539622594725415</v>
      </c>
      <c r="F19" s="11">
        <v>19.764622647807283</v>
      </c>
      <c r="G19" s="11">
        <v>66.044339593851348</v>
      </c>
      <c r="H19" s="11">
        <v>54.036792395249854</v>
      </c>
      <c r="I19" s="11">
        <v>11.12264150718473</v>
      </c>
      <c r="J19" s="11">
        <v>2.7740566033237384</v>
      </c>
      <c r="K19" s="11">
        <v>21.720754717880826</v>
      </c>
      <c r="L19" s="11">
        <v>20.880660398951118</v>
      </c>
      <c r="M19" s="11">
        <v>40.352358548146377</v>
      </c>
      <c r="N19" s="11">
        <v>461.66509431150723</v>
      </c>
      <c r="O19" s="11">
        <f t="shared" si="28"/>
        <v>258.0028300600232</v>
      </c>
      <c r="P19" s="11">
        <f t="shared" si="29"/>
        <v>142.42924530438657</v>
      </c>
      <c r="Q19" s="11"/>
      <c r="R19" s="56">
        <v>36312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0</v>
      </c>
      <c r="BF19" s="56">
        <v>36312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0</v>
      </c>
      <c r="BO19" s="8">
        <v>0</v>
      </c>
      <c r="CS19" t="s">
        <v>322</v>
      </c>
      <c r="CT19">
        <f t="array" ref="CT19:CU23">LINEST(CD2:CD11,CT2:CU11,0,1)</f>
        <v>7.388200320116621E-2</v>
      </c>
      <c r="CU19">
        <v>0.34626452511528161</v>
      </c>
      <c r="CX19" t="s">
        <v>532</v>
      </c>
      <c r="CY19">
        <f t="array" ref="CY19:DB23">LINEST(CZ2:CZ11,CT2:CW11,0,1)</f>
        <v>40.193920871352255</v>
      </c>
      <c r="CZ19">
        <v>48.465948983780621</v>
      </c>
      <c r="DA19">
        <v>4.915666971757425E-2</v>
      </c>
      <c r="DB19">
        <v>0.83198766853094897</v>
      </c>
      <c r="DD19" t="s">
        <v>329</v>
      </c>
      <c r="DE19">
        <f t="array" ref="DE19:DI23">LINEST(CZ2:CZ11,CT2:CX11,0,1)</f>
        <v>13772.378181059548</v>
      </c>
      <c r="DF19">
        <v>70.822345465845203</v>
      </c>
      <c r="DG19">
        <v>20.109485163125335</v>
      </c>
      <c r="DH19">
        <v>3.5517830538380077E-2</v>
      </c>
      <c r="DI19">
        <v>0.93741413335924817</v>
      </c>
      <c r="DJ19" t="s">
        <v>544</v>
      </c>
      <c r="DK19">
        <f t="array" ref="DK19:DO23">LINEST(CZ2:CZ16,CT2:CX16,0,1)</f>
        <v>13730.740602359432</v>
      </c>
      <c r="DL19">
        <v>61.077397413240675</v>
      </c>
      <c r="DM19">
        <v>16.859194165748381</v>
      </c>
      <c r="DN19">
        <v>4.1341247297775288E-2</v>
      </c>
      <c r="DO19">
        <v>0.67069182067791899</v>
      </c>
      <c r="EE19">
        <f t="array" ref="EE19:EH23">(LINEST(EK2:EK16,EE2:EH16,0,1))</f>
        <v>10283.450461454546</v>
      </c>
      <c r="EF19">
        <v>41.487229505525676</v>
      </c>
      <c r="EG19">
        <v>5.8302809120119765E-2</v>
      </c>
      <c r="EH19">
        <v>0.32443219882626673</v>
      </c>
    </row>
    <row r="20" spans="1:141" x14ac:dyDescent="0.25">
      <c r="R20" s="56">
        <v>36342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BF20" s="56">
        <v>36342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V20" s="56"/>
      <c r="BW20" s="8"/>
      <c r="BX20" s="8"/>
      <c r="BY20" s="20"/>
      <c r="CT20">
        <v>1.497841798396372E-2</v>
      </c>
      <c r="CU20">
        <v>0.27540874379424085</v>
      </c>
      <c r="CY20">
        <v>18.97503114923542</v>
      </c>
      <c r="CZ20">
        <v>29.91295094418572</v>
      </c>
      <c r="DA20">
        <v>1.5218608273379276E-2</v>
      </c>
      <c r="DB20">
        <v>0.28846854397433846</v>
      </c>
      <c r="DE20">
        <v>2334.1624094453905</v>
      </c>
      <c r="DF20">
        <v>9.0114281535890317</v>
      </c>
      <c r="DG20">
        <v>12.567451992346687</v>
      </c>
      <c r="DH20">
        <v>6.3439931617466578E-3</v>
      </c>
      <c r="DI20">
        <v>0.11340035995961785</v>
      </c>
      <c r="DK20">
        <v>3364.6337541227235</v>
      </c>
      <c r="DL20">
        <v>12.799489827876128</v>
      </c>
      <c r="DM20">
        <v>14.890562607116905</v>
      </c>
      <c r="DN20">
        <v>7.871926054438292E-3</v>
      </c>
      <c r="DO20">
        <v>0.13292736717189169</v>
      </c>
      <c r="EE20">
        <v>1859.9418497849845</v>
      </c>
      <c r="EF20">
        <v>9.56142190775061</v>
      </c>
      <c r="EG20">
        <v>5.5524081296848184E-3</v>
      </c>
      <c r="EH20">
        <v>9.8507334930695925E-2</v>
      </c>
      <c r="EJ20" t="s">
        <v>545</v>
      </c>
    </row>
    <row r="21" spans="1:141" x14ac:dyDescent="0.25">
      <c r="O21" s="11">
        <f>AVERAGE(O3:O19)</f>
        <v>191.74195343135264</v>
      </c>
      <c r="P21" s="11">
        <f>AVERAGE(P3:P19)</f>
        <v>189.52452835907852</v>
      </c>
      <c r="Q21" s="11">
        <f>AVERAGE(Q3:Q18)</f>
        <v>320.57399768355072</v>
      </c>
      <c r="R21" s="56">
        <v>36373</v>
      </c>
      <c r="S21" s="8">
        <v>0</v>
      </c>
      <c r="T21" s="8">
        <v>486.40185546875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J21" t="s">
        <v>438</v>
      </c>
      <c r="AK21" t="s">
        <v>271</v>
      </c>
      <c r="AN21" s="24" t="s">
        <v>444</v>
      </c>
      <c r="AO21" s="24" t="s">
        <v>445</v>
      </c>
      <c r="AP21" s="24" t="s">
        <v>438</v>
      </c>
      <c r="AQ21" s="24" t="s">
        <v>271</v>
      </c>
      <c r="BF21" s="56">
        <v>36373</v>
      </c>
      <c r="BG21" s="8">
        <v>0</v>
      </c>
      <c r="BH21" s="8">
        <v>486.40185546875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V21" s="56"/>
      <c r="BW21" s="8"/>
      <c r="BX21" s="8"/>
      <c r="BY21" s="20"/>
      <c r="CT21">
        <v>0.91643700077514889</v>
      </c>
      <c r="CU21">
        <v>5512.3788954954052</v>
      </c>
      <c r="CY21">
        <v>0.96087044529925381</v>
      </c>
      <c r="CZ21">
        <v>4355.6590088517405</v>
      </c>
      <c r="DA21" t="e">
        <v>#N/A</v>
      </c>
      <c r="DB21" t="e">
        <v>#N/A</v>
      </c>
      <c r="DE21">
        <v>0.99508597329239334</v>
      </c>
      <c r="DF21">
        <v>1690.8722601816237</v>
      </c>
      <c r="DG21" t="e">
        <v>#N/A</v>
      </c>
      <c r="DH21" t="e">
        <v>#N/A</v>
      </c>
      <c r="DI21" t="e">
        <v>#N/A</v>
      </c>
      <c r="DK21">
        <v>0.9851366910825069</v>
      </c>
      <c r="DL21">
        <v>2776.9059033928338</v>
      </c>
      <c r="DM21" t="e">
        <v>#N/A</v>
      </c>
      <c r="DN21" t="e">
        <v>#N/A</v>
      </c>
      <c r="DO21" t="e">
        <v>#N/A</v>
      </c>
      <c r="EE21">
        <v>0.98808161980067</v>
      </c>
      <c r="EF21">
        <v>2370.913375678268</v>
      </c>
      <c r="EG21" t="e">
        <v>#N/A</v>
      </c>
      <c r="EH21" t="e">
        <v>#N/A</v>
      </c>
      <c r="EJ21">
        <f>1-(((1-EE21)*(14))/(10))</f>
        <v>0.983314267720938</v>
      </c>
    </row>
    <row r="22" spans="1:141" x14ac:dyDescent="0.25">
      <c r="R22" s="56">
        <v>36404</v>
      </c>
      <c r="S22" s="8">
        <v>2146.6317737302738</v>
      </c>
      <c r="T22" s="8">
        <v>1551.3129901885989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I22" t="s">
        <v>322</v>
      </c>
      <c r="AJ22">
        <f t="array" ref="AJ22:AK26">LINEST(AO2:AO11,AJ2:AK11,0,1)</f>
        <v>9.2214086502297607E-2</v>
      </c>
      <c r="AK22">
        <v>0.573336852534862</v>
      </c>
      <c r="AM22" t="s">
        <v>327</v>
      </c>
      <c r="AN22">
        <f t="array" ref="AN22:AQ26">LINEST(AO2:AO11,AJ2:AM11,0,1)</f>
        <v>54.619675955258138</v>
      </c>
      <c r="AO22">
        <v>36.483164301970632</v>
      </c>
      <c r="AP22">
        <v>5.4889494377811203E-2</v>
      </c>
      <c r="AQ22">
        <v>1.0223023309297592</v>
      </c>
      <c r="BF22" s="56">
        <v>36404</v>
      </c>
      <c r="BG22" s="8">
        <v>2146.6317737302738</v>
      </c>
      <c r="BH22" s="8">
        <v>1551.3129901885989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V22" s="56"/>
      <c r="BW22">
        <f t="array" ref="BW22:BZ26">LINEST(CD2:CD11,BW2:BZ11,0,1)</f>
        <v>58.540852455849105</v>
      </c>
      <c r="BX22">
        <v>1.3113431200640369</v>
      </c>
      <c r="BY22">
        <v>-8.763323135587423E-4</v>
      </c>
      <c r="BZ22">
        <v>1.1115104205438759</v>
      </c>
      <c r="CT22">
        <v>43.868076027726175</v>
      </c>
      <c r="CU22">
        <v>8</v>
      </c>
      <c r="CY22">
        <v>36.834195506993488</v>
      </c>
      <c r="CZ22">
        <v>6</v>
      </c>
      <c r="DA22" t="e">
        <v>#N/A</v>
      </c>
      <c r="DB22" t="e">
        <v>#N/A</v>
      </c>
      <c r="DE22">
        <v>202.49909748191678</v>
      </c>
      <c r="DF22">
        <v>5</v>
      </c>
      <c r="DG22" t="e">
        <v>#N/A</v>
      </c>
      <c r="DH22" t="e">
        <v>#N/A</v>
      </c>
      <c r="DI22" t="e">
        <v>#N/A</v>
      </c>
      <c r="DK22">
        <v>132.55953927231712</v>
      </c>
      <c r="DL22">
        <v>10</v>
      </c>
      <c r="DM22" t="e">
        <v>#N/A</v>
      </c>
      <c r="DN22" t="e">
        <v>#N/A</v>
      </c>
      <c r="DO22" t="e">
        <v>#N/A</v>
      </c>
      <c r="EE22">
        <v>227.98605255138497</v>
      </c>
      <c r="EF22">
        <v>11</v>
      </c>
      <c r="EG22" t="e">
        <v>#N/A</v>
      </c>
      <c r="EH22" t="e">
        <v>#N/A</v>
      </c>
      <c r="EJ22">
        <v>3.59</v>
      </c>
      <c r="EK22" t="s">
        <v>602</v>
      </c>
    </row>
    <row r="23" spans="1:141" x14ac:dyDescent="0.25">
      <c r="R23" s="56">
        <v>36434</v>
      </c>
      <c r="S23" s="8">
        <v>3021.7345373630505</v>
      </c>
      <c r="T23" s="8">
        <v>5269.0776309967005</v>
      </c>
      <c r="U23" s="8">
        <v>0</v>
      </c>
      <c r="V23" s="8">
        <v>2676.0541286431253</v>
      </c>
      <c r="W23" s="8">
        <v>2428.842325925827</v>
      </c>
      <c r="X23" s="8">
        <v>0</v>
      </c>
      <c r="Y23" s="8">
        <v>0</v>
      </c>
      <c r="Z23" s="8">
        <v>1921.0513429641721</v>
      </c>
      <c r="AA23" s="8">
        <v>0</v>
      </c>
      <c r="AC23" t="s">
        <v>250</v>
      </c>
      <c r="AD23" t="s">
        <v>449</v>
      </c>
      <c r="AJ23">
        <v>2.3933890726721991E-2</v>
      </c>
      <c r="AK23">
        <v>0.28905965574936199</v>
      </c>
      <c r="AN23">
        <v>43.499159932253676</v>
      </c>
      <c r="AO23">
        <v>27.336071652939218</v>
      </c>
      <c r="AP23">
        <v>3.1112753322572403E-2</v>
      </c>
      <c r="AQ23">
        <v>0.37588839809036689</v>
      </c>
      <c r="BF23" s="56">
        <v>36434</v>
      </c>
      <c r="BG23" s="8">
        <v>3021.7345373630505</v>
      </c>
      <c r="BH23" s="8">
        <v>5269.0776309967005</v>
      </c>
      <c r="BI23" s="8">
        <v>0</v>
      </c>
      <c r="BJ23" s="8">
        <v>2676.0541286431253</v>
      </c>
      <c r="BK23" s="8">
        <v>0</v>
      </c>
      <c r="BL23" s="8">
        <v>2539.4206390380864</v>
      </c>
      <c r="BM23" s="8">
        <v>0</v>
      </c>
      <c r="BN23" s="8">
        <v>3479.0287413746114</v>
      </c>
      <c r="BO23" s="8">
        <v>0</v>
      </c>
      <c r="BQ23" t="s">
        <v>153</v>
      </c>
      <c r="BR23" t="s">
        <v>515</v>
      </c>
      <c r="BS23" t="s">
        <v>514</v>
      </c>
      <c r="BV23" s="56"/>
      <c r="BW23">
        <v>46.25153363492705</v>
      </c>
      <c r="BX23">
        <v>1.1180416388224812</v>
      </c>
      <c r="BY23">
        <v>7.4708614088856776E-2</v>
      </c>
      <c r="BZ23">
        <v>0.45393232501419906</v>
      </c>
      <c r="CT23">
        <v>2665978887.3389745</v>
      </c>
      <c r="CU23">
        <v>243090568.70002517</v>
      </c>
      <c r="CY23">
        <v>2795238863.6306515</v>
      </c>
      <c r="CZ23">
        <v>113830592.40834795</v>
      </c>
      <c r="DA23" t="e">
        <v>#N/A</v>
      </c>
      <c r="DB23" t="e">
        <v>#N/A</v>
      </c>
      <c r="DE23">
        <v>2894774211.0377412</v>
      </c>
      <c r="DF23">
        <v>14295245.001258563</v>
      </c>
      <c r="DG23" t="e">
        <v>#N/A</v>
      </c>
      <c r="DH23" t="e">
        <v>#N/A</v>
      </c>
      <c r="DI23" t="e">
        <v>#N/A</v>
      </c>
      <c r="DK23">
        <v>5110969835.6350193</v>
      </c>
      <c r="DL23">
        <v>77112063.962979704</v>
      </c>
      <c r="DM23" t="e">
        <v>#N/A</v>
      </c>
      <c r="DN23" t="e">
        <v>#N/A</v>
      </c>
      <c r="DO23" t="e">
        <v>#N/A</v>
      </c>
      <c r="EE23">
        <v>5126248367.0133276</v>
      </c>
      <c r="EF23">
        <v>61833532.584671319</v>
      </c>
      <c r="EG23" t="e">
        <v>#N/A</v>
      </c>
      <c r="EH23" t="e">
        <v>#N/A</v>
      </c>
    </row>
    <row r="24" spans="1:141" x14ac:dyDescent="0.25">
      <c r="R24" s="56">
        <v>36465</v>
      </c>
      <c r="S24" s="8">
        <v>2901.8282843865441</v>
      </c>
      <c r="T24" s="8">
        <v>699.81138992309513</v>
      </c>
      <c r="U24" s="8">
        <v>0</v>
      </c>
      <c r="V24" s="8">
        <v>1395.9104894399645</v>
      </c>
      <c r="W24" s="8">
        <v>34987.011587142944</v>
      </c>
      <c r="X24" s="8">
        <v>494.0250244140625</v>
      </c>
      <c r="Y24" s="8">
        <v>0</v>
      </c>
      <c r="Z24" s="8">
        <v>13133.642059326174</v>
      </c>
      <c r="AA24" s="8">
        <v>0</v>
      </c>
      <c r="AB24" s="56">
        <f>R24</f>
        <v>36465</v>
      </c>
      <c r="AC24" s="8">
        <f>SUM(S20:S24)+SUM(Y20:Y24)</f>
        <v>8070.1945954798684</v>
      </c>
      <c r="AD24" s="8">
        <f>SUM(T12:T23)+SUM(U12:U23)+SUM(V12:V23)+SUM(W12:W23)+SUM(X12:X23)+SUM(Z12:Z23)+SUM(AA12:AA23)</f>
        <v>122982.05448173358</v>
      </c>
      <c r="AE24" s="8"/>
      <c r="AJ24">
        <v>0.88520797254881856</v>
      </c>
      <c r="AK24">
        <v>6460.8240656187063</v>
      </c>
      <c r="AN24">
        <v>0.92372818093425946</v>
      </c>
      <c r="AO24">
        <v>6081.1185813231077</v>
      </c>
      <c r="AP24" t="e">
        <v>#N/A</v>
      </c>
      <c r="AQ24" t="e">
        <v>#N/A</v>
      </c>
      <c r="BF24" s="56">
        <v>36465</v>
      </c>
      <c r="BG24" s="8">
        <v>2901.8282843865441</v>
      </c>
      <c r="BH24" s="8">
        <v>699.81138992309513</v>
      </c>
      <c r="BI24" s="8">
        <v>0</v>
      </c>
      <c r="BJ24" s="8">
        <v>1395.9104894399645</v>
      </c>
      <c r="BK24" s="8">
        <v>0</v>
      </c>
      <c r="BL24" s="8">
        <v>10345.406021118166</v>
      </c>
      <c r="BM24" s="8">
        <v>0</v>
      </c>
      <c r="BN24" s="8">
        <v>34599.73321723938</v>
      </c>
      <c r="BO24" s="8">
        <v>560.06085205078102</v>
      </c>
      <c r="BP24" s="56">
        <f>BF24</f>
        <v>36465</v>
      </c>
      <c r="BQ24" s="8">
        <f>SUM(BG20:BG24)+SUM(BK20:BK24)</f>
        <v>8070.1945954798684</v>
      </c>
      <c r="BR24" s="8">
        <f>SUM(BH12:BH23)+SUM(BI12:BI23)+SUM(BJ12:BJ23)+SUM(BL12:BL23)+SUM(BM12:BM23)+SUM(BN12:BN23)</f>
        <v>123504.78536938503</v>
      </c>
      <c r="BS24" s="8">
        <f>SUM(BO12:BO23)</f>
        <v>6016.0014038085947</v>
      </c>
      <c r="BV24" s="56"/>
      <c r="BW24">
        <v>0.91657845833458873</v>
      </c>
      <c r="BX24">
        <v>6359.757055560809</v>
      </c>
      <c r="BY24" t="e">
        <v>#N/A</v>
      </c>
      <c r="BZ24" t="e">
        <v>#N/A</v>
      </c>
      <c r="CT24" s="24" t="s">
        <v>530</v>
      </c>
      <c r="CU24" s="24" t="s">
        <v>498</v>
      </c>
      <c r="CV24" s="24" t="s">
        <v>342</v>
      </c>
    </row>
    <row r="25" spans="1:141" x14ac:dyDescent="0.25">
      <c r="R25" s="56">
        <v>36495</v>
      </c>
      <c r="S25" s="8">
        <v>4707.6356089618057</v>
      </c>
      <c r="T25" s="8">
        <v>0</v>
      </c>
      <c r="U25" s="8">
        <v>0</v>
      </c>
      <c r="V25" s="8">
        <v>835.00683313608079</v>
      </c>
      <c r="W25" s="8">
        <v>1482.8368701934814</v>
      </c>
      <c r="X25" s="8">
        <v>0</v>
      </c>
      <c r="Y25" s="8">
        <v>0</v>
      </c>
      <c r="Z25" s="8">
        <v>0</v>
      </c>
      <c r="AA25" s="8">
        <v>0</v>
      </c>
      <c r="AJ25">
        <v>30.845625509150537</v>
      </c>
      <c r="AK25">
        <v>8</v>
      </c>
      <c r="AN25">
        <v>18.166503544475741</v>
      </c>
      <c r="AO25">
        <v>6</v>
      </c>
      <c r="AP25" t="e">
        <v>#N/A</v>
      </c>
      <c r="AQ25" t="e">
        <v>#N/A</v>
      </c>
      <c r="BF25" s="56">
        <v>36495</v>
      </c>
      <c r="BG25" s="8">
        <v>4707.6356089618057</v>
      </c>
      <c r="BH25" s="8">
        <v>0</v>
      </c>
      <c r="BI25" s="8">
        <v>0</v>
      </c>
      <c r="BJ25" s="8">
        <v>835.00683313608079</v>
      </c>
      <c r="BK25" s="8">
        <v>0</v>
      </c>
      <c r="BL25" s="8">
        <v>0</v>
      </c>
      <c r="BM25" s="8">
        <v>0</v>
      </c>
      <c r="BN25" s="8">
        <v>1847.3101992011068</v>
      </c>
      <c r="BO25" s="8">
        <v>0</v>
      </c>
      <c r="BQ25" s="8">
        <f>SUM(BG20:BG28)+SUM(BK20:BK28)</f>
        <v>48806.963994856458</v>
      </c>
      <c r="BR25" s="8">
        <f>SUM(BH24:BH28)+SUM(BI24:BI28)+SUM(BJ24:BJ28)+SUM(BL24:BL28)+SUM(BM24:BM28)+SUM(BN24:BN28)+SUM(BO24:BO28)</f>
        <v>59340.250268504024</v>
      </c>
      <c r="BV25" s="56"/>
      <c r="BW25">
        <v>16.480967146546242</v>
      </c>
      <c r="BX25">
        <v>6</v>
      </c>
      <c r="BY25" t="e">
        <v>#N/A</v>
      </c>
      <c r="BZ25" t="e">
        <v>#N/A</v>
      </c>
      <c r="CS25" t="s">
        <v>323</v>
      </c>
      <c r="CT25">
        <f t="array" ref="CT25:CV29">LINEST(CZ2:CZ11,CT2:CV11,0,1)</f>
        <v>45.576249774103246</v>
      </c>
      <c r="CU25">
        <v>6.3778059959386027E-2</v>
      </c>
      <c r="CV25">
        <v>0.5555072871486435</v>
      </c>
      <c r="EE25" s="15">
        <f>EE19/EE20</f>
        <v>5.5289096606129631</v>
      </c>
      <c r="EF25" s="15">
        <f t="shared" ref="EF25:EH25" si="75">EF19/EF20</f>
        <v>4.3390229932114597</v>
      </c>
      <c r="EG25" s="15">
        <f t="shared" si="75"/>
        <v>10.500454534027439</v>
      </c>
      <c r="EH25" s="15">
        <f t="shared" si="75"/>
        <v>3.2934826533934602</v>
      </c>
    </row>
    <row r="26" spans="1:141" x14ac:dyDescent="0.25">
      <c r="R26" s="56">
        <v>36526</v>
      </c>
      <c r="S26" s="8">
        <v>13646.429322242737</v>
      </c>
      <c r="T26" s="8">
        <v>0</v>
      </c>
      <c r="U26" s="8">
        <v>0</v>
      </c>
      <c r="V26" s="8">
        <v>349.55421066284191</v>
      </c>
      <c r="W26" s="8">
        <v>1487.6203970760107</v>
      </c>
      <c r="X26" s="8">
        <v>0</v>
      </c>
      <c r="Y26" s="8">
        <v>3906.2672729492215</v>
      </c>
      <c r="Z26" s="8">
        <v>0</v>
      </c>
      <c r="AA26" s="8">
        <v>0</v>
      </c>
      <c r="AJ26">
        <v>2575131475.1839771</v>
      </c>
      <c r="AK26">
        <v>333937980.85502261</v>
      </c>
      <c r="AN26">
        <v>2687189436.8383207</v>
      </c>
      <c r="AO26">
        <v>221880019.200679</v>
      </c>
      <c r="AP26" t="e">
        <v>#N/A</v>
      </c>
      <c r="AQ26" t="e">
        <v>#N/A</v>
      </c>
      <c r="BF26" s="56">
        <v>36526</v>
      </c>
      <c r="BG26" s="8">
        <v>13646.429322242737</v>
      </c>
      <c r="BH26" s="8">
        <v>0</v>
      </c>
      <c r="BI26" s="8">
        <v>0</v>
      </c>
      <c r="BJ26" s="8">
        <v>349.55421066284191</v>
      </c>
      <c r="BK26" s="8">
        <v>3904.157905578616</v>
      </c>
      <c r="BL26" s="8">
        <v>0</v>
      </c>
      <c r="BM26" s="8">
        <v>0</v>
      </c>
      <c r="BN26" s="8">
        <v>1606.7614300101991</v>
      </c>
      <c r="BO26" s="8">
        <v>0</v>
      </c>
      <c r="BV26" s="56"/>
      <c r="BW26">
        <v>2666390397.2044668</v>
      </c>
      <c r="BX26">
        <v>242679058.83453298</v>
      </c>
      <c r="BY26" t="e">
        <v>#N/A</v>
      </c>
      <c r="BZ26" t="e">
        <v>#N/A</v>
      </c>
      <c r="CT26">
        <v>36.574946684712799</v>
      </c>
      <c r="CU26">
        <v>1.6601178546373292E-2</v>
      </c>
      <c r="CV26">
        <v>0.31487125796249521</v>
      </c>
      <c r="EE26" t="s">
        <v>573</v>
      </c>
    </row>
    <row r="27" spans="1:141" x14ac:dyDescent="0.25">
      <c r="R27" s="56">
        <v>36557</v>
      </c>
      <c r="S27" s="8">
        <v>8871.2146943574771</v>
      </c>
      <c r="T27" s="8">
        <v>0</v>
      </c>
      <c r="U27" s="8">
        <v>0</v>
      </c>
      <c r="V27" s="8">
        <v>0</v>
      </c>
      <c r="W27" s="8">
        <v>2683.8149714469937</v>
      </c>
      <c r="X27" s="8">
        <v>0</v>
      </c>
      <c r="Y27" s="8">
        <v>7150.9267811775244</v>
      </c>
      <c r="Z27" s="8">
        <v>0</v>
      </c>
      <c r="AA27" s="8">
        <v>0</v>
      </c>
      <c r="BF27" s="56">
        <v>36557</v>
      </c>
      <c r="BG27" s="8">
        <v>8871.2146943574771</v>
      </c>
      <c r="BH27" s="8">
        <v>0</v>
      </c>
      <c r="BI27" s="8">
        <v>0</v>
      </c>
      <c r="BJ27" s="8">
        <v>0</v>
      </c>
      <c r="BK27" s="8">
        <v>5944.317024230957</v>
      </c>
      <c r="BL27" s="8">
        <v>0</v>
      </c>
      <c r="BM27" s="8">
        <v>0</v>
      </c>
      <c r="BN27" s="8">
        <v>2407.8986230492601</v>
      </c>
      <c r="BO27" s="8">
        <v>0</v>
      </c>
      <c r="BV27" s="56"/>
      <c r="BW27" s="8"/>
      <c r="BX27" s="8"/>
      <c r="BY27" s="20"/>
      <c r="CT27">
        <v>0.93160808141237783</v>
      </c>
      <c r="CU27">
        <v>5331.2668208163086</v>
      </c>
      <c r="CV27" t="e">
        <v>#N/A</v>
      </c>
    </row>
    <row r="28" spans="1:141" x14ac:dyDescent="0.25">
      <c r="R28" s="56">
        <v>36586</v>
      </c>
      <c r="S28" s="8">
        <v>3663.0148440049943</v>
      </c>
      <c r="T28" s="8">
        <v>1805.3231868743901</v>
      </c>
      <c r="U28" s="8">
        <v>0</v>
      </c>
      <c r="V28" s="8">
        <v>1350</v>
      </c>
      <c r="W28" s="8">
        <v>1366.82640388608</v>
      </c>
      <c r="X28" s="8">
        <v>0</v>
      </c>
      <c r="Y28" s="8">
        <v>0</v>
      </c>
      <c r="Z28" s="8">
        <v>0</v>
      </c>
      <c r="AA28" s="8">
        <v>0</v>
      </c>
      <c r="AI28" t="s">
        <v>323</v>
      </c>
      <c r="AJ28">
        <f t="array" ref="AJ28:AL32">LINEST(AO2:AO11,AJ2:AL11,0,1)</f>
        <v>32.763470647659638</v>
      </c>
      <c r="AK28">
        <v>7.5079146949185119E-2</v>
      </c>
      <c r="AL28">
        <v>0.76489296653477734</v>
      </c>
      <c r="BF28" s="56">
        <v>36586</v>
      </c>
      <c r="BG28" s="8">
        <v>3663.0148440049943</v>
      </c>
      <c r="BH28" s="8">
        <v>1805.3231868743901</v>
      </c>
      <c r="BI28" s="8">
        <v>0</v>
      </c>
      <c r="BJ28" s="8">
        <v>1350</v>
      </c>
      <c r="BK28" s="8">
        <v>0</v>
      </c>
      <c r="BL28" s="8">
        <v>0</v>
      </c>
      <c r="BM28" s="8">
        <v>0</v>
      </c>
      <c r="BN28" s="8">
        <v>1537.4738157987599</v>
      </c>
      <c r="BO28" s="8">
        <v>0</v>
      </c>
      <c r="BV28" s="56"/>
      <c r="BW28" s="8"/>
      <c r="BX28" s="8"/>
      <c r="BY28" s="20"/>
      <c r="CT28">
        <v>31.783758006104922</v>
      </c>
      <c r="CU28">
        <v>7</v>
      </c>
      <c r="CV28" t="e">
        <v>#N/A</v>
      </c>
    </row>
    <row r="29" spans="1:141" x14ac:dyDescent="0.25">
      <c r="R29" s="56">
        <v>36617</v>
      </c>
      <c r="S29" s="8">
        <v>241.69490432739249</v>
      </c>
      <c r="T29" s="8">
        <v>0</v>
      </c>
      <c r="U29" s="8">
        <v>0</v>
      </c>
      <c r="V29" s="8">
        <v>78.04833984375</v>
      </c>
      <c r="W29" s="8">
        <v>989.6941227912904</v>
      </c>
      <c r="X29" s="8">
        <v>0</v>
      </c>
      <c r="Y29" s="8">
        <v>0</v>
      </c>
      <c r="Z29" s="8">
        <v>0</v>
      </c>
      <c r="AA29" s="8">
        <v>0</v>
      </c>
      <c r="AJ29">
        <v>28.272265717923705</v>
      </c>
      <c r="AK29">
        <v>2.7711237198580513E-2</v>
      </c>
      <c r="AL29">
        <v>0.32778676479929314</v>
      </c>
      <c r="BF29" s="56">
        <v>36617</v>
      </c>
      <c r="BG29" s="8">
        <v>241.69490432739249</v>
      </c>
      <c r="BH29" s="8">
        <v>0</v>
      </c>
      <c r="BI29" s="8">
        <v>0</v>
      </c>
      <c r="BJ29" s="8">
        <v>78.04833984375</v>
      </c>
      <c r="BK29" s="8">
        <v>0</v>
      </c>
      <c r="BL29" s="8">
        <v>0</v>
      </c>
      <c r="BM29" s="8">
        <v>0</v>
      </c>
      <c r="BN29" s="8">
        <v>983.36015939712547</v>
      </c>
      <c r="BO29" s="8">
        <v>0</v>
      </c>
      <c r="BV29" s="56"/>
      <c r="BW29" s="8"/>
      <c r="BX29" s="8"/>
      <c r="BY29" s="20"/>
      <c r="CT29">
        <v>2710112614.6358418</v>
      </c>
      <c r="CU29">
        <v>198956841.4031578</v>
      </c>
      <c r="CV29" t="e">
        <v>#N/A</v>
      </c>
    </row>
    <row r="30" spans="1:141" x14ac:dyDescent="0.25">
      <c r="R30" s="56">
        <v>36647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J30">
        <v>0.90368579812858074</v>
      </c>
      <c r="AK30">
        <v>6326.6409824636457</v>
      </c>
      <c r="AL30" t="e">
        <v>#N/A</v>
      </c>
      <c r="BF30" s="56">
        <v>36647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</row>
    <row r="31" spans="1:141" x14ac:dyDescent="0.25">
      <c r="R31" s="56">
        <v>36678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J31">
        <v>21.892931204978108</v>
      </c>
      <c r="AK31">
        <v>7</v>
      </c>
      <c r="AL31" t="e">
        <v>#N/A</v>
      </c>
      <c r="BF31" s="56">
        <v>36678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</row>
    <row r="32" spans="1:141" x14ac:dyDescent="0.25">
      <c r="R32" s="56">
        <v>36708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J32">
        <v>2628884753.1920795</v>
      </c>
      <c r="AK32">
        <v>280184702.84691995</v>
      </c>
      <c r="AL32" t="e">
        <v>#N/A</v>
      </c>
      <c r="BF32" s="56">
        <v>36708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</row>
    <row r="33" spans="18:71" x14ac:dyDescent="0.25">
      <c r="R33" s="56">
        <v>36739</v>
      </c>
      <c r="S33" s="8">
        <v>0</v>
      </c>
      <c r="T33" s="8">
        <v>9.2531013488769496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BF33" s="56">
        <v>36739</v>
      </c>
      <c r="BG33" s="8">
        <v>0</v>
      </c>
      <c r="BH33" s="8">
        <v>9.2531013488769496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</row>
    <row r="34" spans="18:71" x14ac:dyDescent="0.25">
      <c r="R34" s="56">
        <v>36770</v>
      </c>
      <c r="S34" s="8">
        <v>1435.5681418776514</v>
      </c>
      <c r="T34" s="8">
        <v>4.6765422821044904</v>
      </c>
      <c r="U34" s="8">
        <v>0</v>
      </c>
      <c r="V34" s="8">
        <v>0</v>
      </c>
      <c r="W34" s="8">
        <v>1762.2670254707334</v>
      </c>
      <c r="X34" s="8">
        <v>0</v>
      </c>
      <c r="Y34" s="8">
        <v>2739.013336181642</v>
      </c>
      <c r="Z34" s="8">
        <v>0</v>
      </c>
      <c r="AA34" s="8">
        <v>0</v>
      </c>
      <c r="BF34" s="56">
        <v>36770</v>
      </c>
      <c r="BG34" s="8">
        <v>1435.5681418776514</v>
      </c>
      <c r="BH34" s="8">
        <v>4.6765422821044904</v>
      </c>
      <c r="BI34" s="8">
        <v>0</v>
      </c>
      <c r="BJ34" s="8">
        <v>0</v>
      </c>
      <c r="BK34" s="8">
        <v>2449.6261978149423</v>
      </c>
      <c r="BL34" s="8">
        <v>0</v>
      </c>
      <c r="BM34" s="8">
        <v>0</v>
      </c>
      <c r="BN34" s="8">
        <v>1800.1836014390001</v>
      </c>
      <c r="BO34" s="8">
        <v>0</v>
      </c>
    </row>
    <row r="35" spans="18:71" x14ac:dyDescent="0.25">
      <c r="R35" s="56">
        <v>36800</v>
      </c>
      <c r="S35" s="8">
        <v>1515.2026581764221</v>
      </c>
      <c r="T35" s="8">
        <v>0</v>
      </c>
      <c r="U35" s="8">
        <v>0</v>
      </c>
      <c r="V35" s="8">
        <v>0</v>
      </c>
      <c r="W35" s="8">
        <v>2654.2266689948742</v>
      </c>
      <c r="X35" s="8">
        <v>0</v>
      </c>
      <c r="Y35" s="8">
        <v>7151.8045008629488</v>
      </c>
      <c r="Z35" s="8">
        <v>0</v>
      </c>
      <c r="AA35" s="8">
        <v>0</v>
      </c>
      <c r="BF35" s="56">
        <v>36800</v>
      </c>
      <c r="BG35" s="8">
        <v>1515.2026581764221</v>
      </c>
      <c r="BH35" s="8">
        <v>0</v>
      </c>
      <c r="BI35" s="8">
        <v>0</v>
      </c>
      <c r="BJ35" s="8">
        <v>0</v>
      </c>
      <c r="BK35" s="8">
        <v>6828.4597474336651</v>
      </c>
      <c r="BL35" s="8">
        <v>0</v>
      </c>
      <c r="BM35" s="8">
        <v>0</v>
      </c>
      <c r="BN35" s="8">
        <v>2971.0325435027494</v>
      </c>
      <c r="BO35" s="8">
        <v>0</v>
      </c>
    </row>
    <row r="36" spans="18:71" x14ac:dyDescent="0.25">
      <c r="R36" s="56">
        <v>36831</v>
      </c>
      <c r="S36" s="8">
        <v>1448.1213699579241</v>
      </c>
      <c r="T36" s="8">
        <v>21095.208770751968</v>
      </c>
      <c r="U36" s="8">
        <v>0</v>
      </c>
      <c r="V36" s="8">
        <v>2706.7657546103005</v>
      </c>
      <c r="W36" s="8">
        <v>37501.063027724624</v>
      </c>
      <c r="X36" s="8">
        <v>4764.6986236572275</v>
      </c>
      <c r="Y36" s="8">
        <v>6631.8176765441967</v>
      </c>
      <c r="Z36" s="8">
        <v>16317.927509307865</v>
      </c>
      <c r="AA36" s="8">
        <v>1795.8229064941411</v>
      </c>
      <c r="AB36" s="56">
        <f>R36</f>
        <v>36831</v>
      </c>
      <c r="AC36" s="8">
        <f>SUM(S32:S36)+SUM(Y32:Y36)</f>
        <v>20921.527683600783</v>
      </c>
      <c r="AD36" s="8">
        <f>SUM(T24:T35)+SUM(U24:U35)+SUM(V24:V35)+SUM(W24:W35)+SUM(X24:X35)+SUM(Z24:Z35)+SUM(AA24:AA35)</f>
        <v>67569.549224253744</v>
      </c>
      <c r="AE36" s="8"/>
      <c r="BF36" s="56">
        <v>36831</v>
      </c>
      <c r="BG36" s="8">
        <v>1448.1213699579241</v>
      </c>
      <c r="BH36" s="8">
        <v>21095.208770751968</v>
      </c>
      <c r="BI36" s="8">
        <v>0</v>
      </c>
      <c r="BJ36" s="8">
        <v>2706.7657546103005</v>
      </c>
      <c r="BK36" s="8">
        <v>6282.4504566192591</v>
      </c>
      <c r="BL36" s="8">
        <v>16446.298403739936</v>
      </c>
      <c r="BM36" s="8">
        <v>1623.75</v>
      </c>
      <c r="BN36" s="8">
        <v>37871.278092274442</v>
      </c>
      <c r="BO36" s="8">
        <v>4596.5265502929687</v>
      </c>
      <c r="BP36" s="56">
        <f>BF36</f>
        <v>36831</v>
      </c>
      <c r="BQ36" s="8">
        <f>SUM(BG32:BG36)+SUM(BK32:BK36)</f>
        <v>19959.428571879864</v>
      </c>
      <c r="BR36" s="8">
        <f>SUM(BH24:BH35)+SUM(BI24:BI35)+SUM(BJ24:BJ35)+SUM(BL24:BL35)+SUM(BM24:BM35)+SUM(BN24:BN35)</f>
        <v>64626.743704266846</v>
      </c>
      <c r="BS36" s="8">
        <f>SUM(BO24:BO35)</f>
        <v>560.06085205078102</v>
      </c>
    </row>
    <row r="37" spans="18:71" x14ac:dyDescent="0.25">
      <c r="R37" s="56">
        <v>36861</v>
      </c>
      <c r="S37" s="8">
        <v>0</v>
      </c>
      <c r="T37" s="8">
        <v>2732.8853492736798</v>
      </c>
      <c r="U37" s="8">
        <v>0</v>
      </c>
      <c r="V37" s="8">
        <v>2786.7723445892311</v>
      </c>
      <c r="W37" s="8">
        <v>35906.735805958495</v>
      </c>
      <c r="X37" s="8">
        <v>1077.0787353515627</v>
      </c>
      <c r="Y37" s="8">
        <v>0</v>
      </c>
      <c r="Z37" s="8">
        <v>17779.909210205082</v>
      </c>
      <c r="AA37" s="8">
        <v>64.4228515625</v>
      </c>
      <c r="BF37" s="56">
        <v>36861</v>
      </c>
      <c r="BG37" s="8">
        <v>0</v>
      </c>
      <c r="BH37" s="8">
        <v>2732.8853492736798</v>
      </c>
      <c r="BI37" s="8">
        <v>0</v>
      </c>
      <c r="BJ37" s="8">
        <v>2786.7723445892311</v>
      </c>
      <c r="BK37" s="8">
        <v>0</v>
      </c>
      <c r="BL37" s="8">
        <v>16658.356796264656</v>
      </c>
      <c r="BM37" s="8">
        <v>54.25</v>
      </c>
      <c r="BN37" s="8">
        <v>36152.655650854096</v>
      </c>
      <c r="BO37" s="8">
        <v>1075.4782409667973</v>
      </c>
      <c r="BQ37" s="8">
        <f>SUM(BG32:BG40)+SUM(BK32:BK40)</f>
        <v>23453.034113109115</v>
      </c>
      <c r="BR37" s="8">
        <f>SUM(BH36:BH40)+SUM(BI36:BI40)+SUM(BJ36:BJ40)+SUM(BL36:BL40)+SUM(BM36:BM40)+SUM(BN36:BN40)+SUM(BO36:BO40)</f>
        <v>250327.19618042375</v>
      </c>
    </row>
    <row r="38" spans="18:71" x14ac:dyDescent="0.25">
      <c r="R38" s="56">
        <v>36892</v>
      </c>
      <c r="S38" s="8">
        <v>0</v>
      </c>
      <c r="T38" s="8">
        <v>0</v>
      </c>
      <c r="U38" s="8">
        <v>0</v>
      </c>
      <c r="V38" s="8">
        <v>417.64591979980491</v>
      </c>
      <c r="W38" s="8">
        <v>286.79339450597769</v>
      </c>
      <c r="X38" s="8">
        <v>0</v>
      </c>
      <c r="Y38" s="8">
        <v>2543.6532897949237</v>
      </c>
      <c r="Z38" s="8">
        <v>0</v>
      </c>
      <c r="AA38" s="8">
        <v>0</v>
      </c>
      <c r="BF38" s="56">
        <v>36892</v>
      </c>
      <c r="BG38" s="8">
        <v>0</v>
      </c>
      <c r="BH38" s="8">
        <v>0</v>
      </c>
      <c r="BI38" s="8">
        <v>0</v>
      </c>
      <c r="BJ38" s="8">
        <v>417.64591979980491</v>
      </c>
      <c r="BK38" s="8">
        <v>2828.5760650634788</v>
      </c>
      <c r="BL38" s="8">
        <v>0</v>
      </c>
      <c r="BM38" s="8">
        <v>0</v>
      </c>
      <c r="BN38" s="8">
        <v>246.98371380567539</v>
      </c>
      <c r="BO38" s="8">
        <v>0</v>
      </c>
    </row>
    <row r="39" spans="18:71" x14ac:dyDescent="0.25">
      <c r="R39" s="56">
        <v>36923</v>
      </c>
      <c r="S39" s="8">
        <v>0</v>
      </c>
      <c r="T39" s="8">
        <v>15783.607570648197</v>
      </c>
      <c r="U39" s="8">
        <v>0</v>
      </c>
      <c r="V39" s="8">
        <v>818.74904632568371</v>
      </c>
      <c r="W39" s="8">
        <v>45990.763229683042</v>
      </c>
      <c r="X39" s="8">
        <v>6009.7851867675781</v>
      </c>
      <c r="Y39" s="8">
        <v>586.06585693359432</v>
      </c>
      <c r="Z39" s="8">
        <v>4171.2397222518912</v>
      </c>
      <c r="AA39" s="8">
        <v>2045.929908752441</v>
      </c>
      <c r="BF39" s="56">
        <v>36923</v>
      </c>
      <c r="BG39" s="8">
        <v>0</v>
      </c>
      <c r="BH39" s="8">
        <v>15783.607570648197</v>
      </c>
      <c r="BI39" s="8">
        <v>0</v>
      </c>
      <c r="BJ39" s="8">
        <v>818.74904632568371</v>
      </c>
      <c r="BK39" s="8">
        <v>665.0294761657716</v>
      </c>
      <c r="BL39" s="8">
        <v>5003.2519292831403</v>
      </c>
      <c r="BM39" s="8">
        <v>1139.7852325439449</v>
      </c>
      <c r="BN39" s="8">
        <v>52272.257239446044</v>
      </c>
      <c r="BO39" s="8">
        <v>5705.5680694580078</v>
      </c>
    </row>
    <row r="40" spans="18:71" x14ac:dyDescent="0.25">
      <c r="R40" s="56">
        <v>36951</v>
      </c>
      <c r="S40" s="8">
        <v>0</v>
      </c>
      <c r="T40" s="8">
        <v>3612.5059423446637</v>
      </c>
      <c r="U40" s="8">
        <v>0</v>
      </c>
      <c r="V40" s="8">
        <v>774.26607894897506</v>
      </c>
      <c r="W40" s="8">
        <v>19560.642829876393</v>
      </c>
      <c r="X40" s="8">
        <v>369.91003417968761</v>
      </c>
      <c r="Y40" s="8">
        <v>0</v>
      </c>
      <c r="Z40" s="8">
        <v>0</v>
      </c>
      <c r="AA40" s="8">
        <v>240.25</v>
      </c>
      <c r="BF40" s="56">
        <v>36951</v>
      </c>
      <c r="BG40" s="8">
        <v>0</v>
      </c>
      <c r="BH40" s="8">
        <v>3612.5059423446637</v>
      </c>
      <c r="BI40" s="8">
        <v>0</v>
      </c>
      <c r="BJ40" s="8">
        <v>774.26607894897506</v>
      </c>
      <c r="BK40" s="8">
        <v>0</v>
      </c>
      <c r="BL40" s="8">
        <v>0</v>
      </c>
      <c r="BM40" s="8">
        <v>218.215576171875</v>
      </c>
      <c r="BN40" s="8">
        <v>20168.742794748396</v>
      </c>
      <c r="BO40" s="8">
        <v>365.39111328125</v>
      </c>
    </row>
    <row r="41" spans="18:71" x14ac:dyDescent="0.25">
      <c r="R41" s="56">
        <v>36982</v>
      </c>
      <c r="S41" s="8">
        <v>0</v>
      </c>
      <c r="T41" s="8">
        <v>225.74894237518291</v>
      </c>
      <c r="U41" s="8">
        <v>0</v>
      </c>
      <c r="V41" s="8">
        <v>191.21630859375</v>
      </c>
      <c r="W41" s="8">
        <v>13136.959495782854</v>
      </c>
      <c r="X41" s="8">
        <v>824.5992431640625</v>
      </c>
      <c r="Y41" s="8">
        <v>0</v>
      </c>
      <c r="Z41" s="8">
        <v>0</v>
      </c>
      <c r="AA41" s="8">
        <v>271.25</v>
      </c>
      <c r="BF41" s="56">
        <v>36982</v>
      </c>
      <c r="BG41" s="8">
        <v>0</v>
      </c>
      <c r="BH41" s="8">
        <v>225.74894237518291</v>
      </c>
      <c r="BI41" s="8">
        <v>0</v>
      </c>
      <c r="BJ41" s="8">
        <v>191.21630859375</v>
      </c>
      <c r="BK41" s="8">
        <v>0</v>
      </c>
      <c r="BL41" s="8">
        <v>0</v>
      </c>
      <c r="BM41" s="8">
        <v>271.25</v>
      </c>
      <c r="BN41" s="8">
        <v>12245.745882034305</v>
      </c>
      <c r="BO41" s="8">
        <v>37.385009765625</v>
      </c>
    </row>
    <row r="42" spans="18:71" x14ac:dyDescent="0.25">
      <c r="R42" s="56">
        <v>37012</v>
      </c>
      <c r="S42" s="8">
        <v>0</v>
      </c>
      <c r="T42" s="8">
        <v>0</v>
      </c>
      <c r="U42" s="8">
        <v>0</v>
      </c>
      <c r="V42" s="8">
        <v>25.2099609375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BF42" s="56">
        <v>37012</v>
      </c>
      <c r="BG42" s="8">
        <v>0</v>
      </c>
      <c r="BH42" s="8">
        <v>0</v>
      </c>
      <c r="BI42" s="8">
        <v>0</v>
      </c>
      <c r="BJ42" s="8">
        <v>25.2099609375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</row>
    <row r="43" spans="18:71" x14ac:dyDescent="0.25">
      <c r="R43" s="56">
        <v>37043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BF43" s="56">
        <v>37043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</row>
    <row r="44" spans="18:71" x14ac:dyDescent="0.25">
      <c r="R44" s="56">
        <v>37073</v>
      </c>
      <c r="S44" s="8">
        <v>0</v>
      </c>
      <c r="T44" s="8">
        <v>0</v>
      </c>
      <c r="U44" s="8">
        <v>0</v>
      </c>
      <c r="V44" s="8">
        <v>2.3210099339485208</v>
      </c>
      <c r="W44" s="8">
        <v>198.00650411844202</v>
      </c>
      <c r="X44" s="8">
        <v>14.3967590332031</v>
      </c>
      <c r="Y44" s="8">
        <v>0</v>
      </c>
      <c r="Z44" s="8">
        <v>0</v>
      </c>
      <c r="AA44" s="8">
        <v>0</v>
      </c>
      <c r="BF44" s="56">
        <v>37073</v>
      </c>
      <c r="BG44" s="8">
        <v>0</v>
      </c>
      <c r="BH44" s="8">
        <v>0</v>
      </c>
      <c r="BI44" s="8">
        <v>0</v>
      </c>
      <c r="BJ44" s="8">
        <v>2.3210099339485208</v>
      </c>
      <c r="BK44" s="8">
        <v>0</v>
      </c>
      <c r="BL44" s="8">
        <v>0</v>
      </c>
      <c r="BM44" s="8">
        <v>0</v>
      </c>
      <c r="BN44" s="8">
        <v>211.98858284950242</v>
      </c>
      <c r="BO44" s="8">
        <v>30</v>
      </c>
    </row>
    <row r="45" spans="18:71" x14ac:dyDescent="0.25">
      <c r="R45" s="56">
        <v>37104</v>
      </c>
      <c r="S45" s="8">
        <v>0</v>
      </c>
      <c r="T45" s="8">
        <v>0</v>
      </c>
      <c r="U45" s="8">
        <v>0</v>
      </c>
      <c r="V45" s="8">
        <v>2710.9237513914695</v>
      </c>
      <c r="W45" s="8">
        <v>4245.6008702516565</v>
      </c>
      <c r="X45" s="8">
        <v>428.88433837890631</v>
      </c>
      <c r="Y45" s="8">
        <v>0</v>
      </c>
      <c r="Z45" s="8">
        <v>0</v>
      </c>
      <c r="AA45" s="8">
        <v>0</v>
      </c>
      <c r="BF45" s="56">
        <v>37104</v>
      </c>
      <c r="BG45" s="8">
        <v>0</v>
      </c>
      <c r="BH45" s="8">
        <v>0</v>
      </c>
      <c r="BI45" s="8">
        <v>0</v>
      </c>
      <c r="BJ45" s="8">
        <v>2710.9237513914695</v>
      </c>
      <c r="BK45" s="8">
        <v>0</v>
      </c>
      <c r="BL45" s="8">
        <v>0</v>
      </c>
      <c r="BM45" s="8">
        <v>0</v>
      </c>
      <c r="BN45" s="8">
        <v>4265.0563299655914</v>
      </c>
      <c r="BO45" s="8">
        <v>430.31573486328131</v>
      </c>
    </row>
    <row r="46" spans="18:71" x14ac:dyDescent="0.25">
      <c r="R46" s="56">
        <v>37135</v>
      </c>
      <c r="S46" s="8">
        <v>0</v>
      </c>
      <c r="T46" s="8">
        <v>0</v>
      </c>
      <c r="U46" s="8">
        <v>0</v>
      </c>
      <c r="V46" s="8">
        <v>259.10021987557417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BF46" s="56">
        <v>37135</v>
      </c>
      <c r="BG46" s="8">
        <v>0</v>
      </c>
      <c r="BH46" s="8">
        <v>0</v>
      </c>
      <c r="BI46" s="8">
        <v>0</v>
      </c>
      <c r="BJ46" s="8">
        <v>259.10021987557417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</row>
    <row r="47" spans="18:71" x14ac:dyDescent="0.25">
      <c r="R47" s="56">
        <v>37165</v>
      </c>
      <c r="S47" s="8">
        <v>276.44990730285656</v>
      </c>
      <c r="T47" s="8">
        <v>0</v>
      </c>
      <c r="U47" s="8">
        <v>0</v>
      </c>
      <c r="V47" s="8">
        <v>0</v>
      </c>
      <c r="W47" s="8">
        <v>9.3811239693313855</v>
      </c>
      <c r="X47" s="8">
        <v>0</v>
      </c>
      <c r="Y47" s="8">
        <v>1742.273759841921</v>
      </c>
      <c r="Z47" s="8">
        <v>0</v>
      </c>
      <c r="AA47" s="8">
        <v>0</v>
      </c>
      <c r="BF47" s="56">
        <v>37165</v>
      </c>
      <c r="BG47" s="8">
        <v>276.44990730285656</v>
      </c>
      <c r="BH47" s="8">
        <v>0</v>
      </c>
      <c r="BI47" s="8">
        <v>0</v>
      </c>
      <c r="BJ47" s="8">
        <v>0</v>
      </c>
      <c r="BK47" s="8">
        <v>1106.6797122955327</v>
      </c>
      <c r="BL47" s="8">
        <v>0</v>
      </c>
      <c r="BM47" s="8">
        <v>0</v>
      </c>
      <c r="BN47" s="8">
        <v>9.8620814792811871</v>
      </c>
      <c r="BO47" s="8">
        <v>0</v>
      </c>
    </row>
    <row r="48" spans="18:71" x14ac:dyDescent="0.25">
      <c r="R48" s="56">
        <v>37196</v>
      </c>
      <c r="S48" s="8">
        <v>1881.9385681152326</v>
      </c>
      <c r="T48" s="8">
        <v>4508.527323722843</v>
      </c>
      <c r="U48" s="8">
        <v>0</v>
      </c>
      <c r="V48" s="8">
        <v>1315.9137969017031</v>
      </c>
      <c r="W48" s="8">
        <v>645.80164507776476</v>
      </c>
      <c r="X48" s="8">
        <v>0</v>
      </c>
      <c r="Y48" s="8">
        <v>7782.8229475021371</v>
      </c>
      <c r="Z48" s="8">
        <v>332.9247474670409</v>
      </c>
      <c r="AA48" s="8">
        <v>0</v>
      </c>
      <c r="AB48" s="56">
        <f>R48</f>
        <v>37196</v>
      </c>
      <c r="AC48" s="8">
        <f>SUM(S44:S48)+SUM(Y44:Y48)</f>
        <v>11683.485182762148</v>
      </c>
      <c r="AD48" s="8">
        <f>SUM(T36:T47)+SUM(U36:U47)+SUM(V36:V47)+SUM(W36:W47)+SUM(X36:X47)+SUM(Z36:Z47)+SUM(AA36:AA47)</f>
        <v>267154.97828137688</v>
      </c>
      <c r="AE48" s="8"/>
      <c r="BF48" s="56">
        <v>37196</v>
      </c>
      <c r="BG48" s="8">
        <v>1881.9385681152326</v>
      </c>
      <c r="BH48" s="8">
        <v>4508.527323722843</v>
      </c>
      <c r="BI48" s="8">
        <v>0</v>
      </c>
      <c r="BJ48" s="8">
        <v>1315.9137969017031</v>
      </c>
      <c r="BK48" s="8">
        <v>7336.773892402648</v>
      </c>
      <c r="BL48" s="8">
        <v>314.98162651062017</v>
      </c>
      <c r="BM48" s="8">
        <v>0</v>
      </c>
      <c r="BN48" s="8">
        <v>733.84698735550023</v>
      </c>
      <c r="BO48" s="8">
        <v>0</v>
      </c>
      <c r="BP48" s="56">
        <f>BF48</f>
        <v>37196</v>
      </c>
      <c r="BQ48" s="8">
        <f>SUM(BG44:BG48)+SUM(BK44:BK48)</f>
        <v>10601.84208011627</v>
      </c>
      <c r="BR48" s="8">
        <f>SUM(BH36:BH47)+SUM(BI36:BI47)+SUM(BJ36:BJ47)+SUM(BL36:BL47)+SUM(BM36:BM47)+SUM(BN36:BN47)</f>
        <v>259002.65527586083</v>
      </c>
      <c r="BS48" s="8">
        <f>SUM(BO36:BO47)</f>
        <v>12240.66471862793</v>
      </c>
    </row>
    <row r="49" spans="18:71" x14ac:dyDescent="0.25">
      <c r="R49" s="56">
        <v>37226</v>
      </c>
      <c r="S49" s="8">
        <v>1091.5531082153316</v>
      </c>
      <c r="T49" s="8">
        <v>2785.2584724426247</v>
      </c>
      <c r="U49" s="8">
        <v>0</v>
      </c>
      <c r="V49" s="8">
        <v>533.98467907309521</v>
      </c>
      <c r="W49" s="8">
        <v>21483.840134918693</v>
      </c>
      <c r="X49" s="8">
        <v>587.91235351562511</v>
      </c>
      <c r="Y49" s="8">
        <v>15935.50693893433</v>
      </c>
      <c r="Z49" s="8">
        <v>10556.876747131351</v>
      </c>
      <c r="AA49" s="8">
        <v>198.92352294921875</v>
      </c>
      <c r="BF49" s="56">
        <v>37226</v>
      </c>
      <c r="BG49" s="8">
        <v>1091.5531082153316</v>
      </c>
      <c r="BH49" s="8">
        <v>2785.2584724426247</v>
      </c>
      <c r="BI49" s="8">
        <v>0</v>
      </c>
      <c r="BJ49" s="8">
        <v>533.98467907309521</v>
      </c>
      <c r="BK49" s="8">
        <v>14562.266886711124</v>
      </c>
      <c r="BL49" s="8">
        <v>12306.742740631107</v>
      </c>
      <c r="BM49" s="8">
        <v>139.5</v>
      </c>
      <c r="BN49" s="8">
        <v>22713.621307402853</v>
      </c>
      <c r="BO49" s="8">
        <v>401.53173828125</v>
      </c>
      <c r="BQ49" s="8">
        <f>SUM(BG44:BG52)+SUM(BK44:BK52)</f>
        <v>88281.971964500495</v>
      </c>
      <c r="BR49" s="8">
        <f>SUM(BH48:BH52)+SUM(BI48:BI52)+SUM(BJ48:BJ52)+SUM(BL48:BL52)+SUM(BM48:BM52)+SUM(BN48:BN52)+SUM(BO48:BO52)</f>
        <v>59598.9806363471</v>
      </c>
    </row>
    <row r="50" spans="18:71" x14ac:dyDescent="0.25">
      <c r="R50" s="56">
        <v>37257</v>
      </c>
      <c r="S50" s="8">
        <v>11277.058717727661</v>
      </c>
      <c r="T50" s="8">
        <v>0</v>
      </c>
      <c r="U50" s="8">
        <v>0</v>
      </c>
      <c r="V50" s="8">
        <v>453.70471954345709</v>
      </c>
      <c r="W50" s="8">
        <v>7899.1841013431595</v>
      </c>
      <c r="X50" s="8">
        <v>0</v>
      </c>
      <c r="Y50" s="8">
        <v>22798.417724609375</v>
      </c>
      <c r="Z50" s="8">
        <v>1831.4500312805176</v>
      </c>
      <c r="AA50" s="8">
        <v>0</v>
      </c>
      <c r="BF50" s="56">
        <v>37257</v>
      </c>
      <c r="BG50" s="8">
        <v>11277.058717727661</v>
      </c>
      <c r="BH50" s="8">
        <v>0</v>
      </c>
      <c r="BI50" s="8">
        <v>0</v>
      </c>
      <c r="BJ50" s="8">
        <v>453.70471954345709</v>
      </c>
      <c r="BK50" s="8">
        <v>22768.094928741455</v>
      </c>
      <c r="BL50" s="8">
        <v>0</v>
      </c>
      <c r="BM50" s="8">
        <v>0</v>
      </c>
      <c r="BN50" s="8">
        <v>4500.7008416652689</v>
      </c>
      <c r="BO50" s="8">
        <v>0</v>
      </c>
    </row>
    <row r="51" spans="18:71" x14ac:dyDescent="0.25">
      <c r="R51" s="56">
        <v>37288</v>
      </c>
      <c r="S51" s="8">
        <v>8254.8858057777397</v>
      </c>
      <c r="T51" s="8">
        <v>0</v>
      </c>
      <c r="U51" s="8">
        <v>0</v>
      </c>
      <c r="V51" s="8">
        <v>966.10615539550781</v>
      </c>
      <c r="W51" s="8">
        <v>4150.5165969431418</v>
      </c>
      <c r="X51" s="8">
        <v>0</v>
      </c>
      <c r="Y51" s="8">
        <v>13707.515598297119</v>
      </c>
      <c r="Z51" s="8">
        <v>0</v>
      </c>
      <c r="AA51" s="8">
        <v>0</v>
      </c>
      <c r="BF51" s="56">
        <v>37288</v>
      </c>
      <c r="BG51" s="8">
        <v>8254.8858057777397</v>
      </c>
      <c r="BH51" s="8">
        <v>0</v>
      </c>
      <c r="BI51" s="8">
        <v>0</v>
      </c>
      <c r="BJ51" s="8">
        <v>966.10615539550781</v>
      </c>
      <c r="BK51" s="8">
        <v>14817.429145812994</v>
      </c>
      <c r="BL51" s="8">
        <v>0</v>
      </c>
      <c r="BM51" s="8">
        <v>0</v>
      </c>
      <c r="BN51" s="8">
        <v>5917.2368707656879</v>
      </c>
      <c r="BO51" s="8">
        <v>0</v>
      </c>
    </row>
    <row r="52" spans="18:71" x14ac:dyDescent="0.25">
      <c r="R52" s="56">
        <v>37316</v>
      </c>
      <c r="S52" s="8">
        <v>2883.9028644264918</v>
      </c>
      <c r="T52" s="8">
        <v>0</v>
      </c>
      <c r="U52" s="8">
        <v>0</v>
      </c>
      <c r="V52" s="8">
        <v>0</v>
      </c>
      <c r="W52" s="8">
        <v>1219.8130782842636</v>
      </c>
      <c r="X52" s="8">
        <v>804.27936935424805</v>
      </c>
      <c r="Y52" s="8">
        <v>1422.6491031646733</v>
      </c>
      <c r="Z52" s="8">
        <v>0</v>
      </c>
      <c r="AA52" s="8">
        <v>0</v>
      </c>
      <c r="BF52" s="56">
        <v>37316</v>
      </c>
      <c r="BG52" s="8">
        <v>2883.9028644264918</v>
      </c>
      <c r="BH52" s="8">
        <v>0</v>
      </c>
      <c r="BI52" s="8">
        <v>0</v>
      </c>
      <c r="BJ52" s="8">
        <v>0</v>
      </c>
      <c r="BK52" s="8">
        <v>2024.9384269714355</v>
      </c>
      <c r="BL52" s="8">
        <v>0</v>
      </c>
      <c r="BM52" s="8">
        <v>0</v>
      </c>
      <c r="BN52" s="8">
        <v>1209.9302949905393</v>
      </c>
      <c r="BO52" s="8">
        <v>797.39308166503906</v>
      </c>
    </row>
    <row r="53" spans="18:71" x14ac:dyDescent="0.25">
      <c r="R53" s="56">
        <v>37347</v>
      </c>
      <c r="S53" s="8">
        <v>0</v>
      </c>
      <c r="T53" s="8">
        <v>5010.3481826782227</v>
      </c>
      <c r="U53" s="8">
        <v>0</v>
      </c>
      <c r="V53" s="8">
        <v>714.51171875</v>
      </c>
      <c r="W53" s="8">
        <v>24186.516908168793</v>
      </c>
      <c r="X53" s="8">
        <v>2566.3239250183105</v>
      </c>
      <c r="Y53" s="8">
        <v>8.2708930373191585</v>
      </c>
      <c r="Z53" s="8">
        <v>10617.353251934055</v>
      </c>
      <c r="AA53" s="8">
        <v>46.5</v>
      </c>
      <c r="BF53" s="56">
        <v>37347</v>
      </c>
      <c r="BG53" s="8">
        <v>0</v>
      </c>
      <c r="BH53" s="8">
        <v>5010.3481826782227</v>
      </c>
      <c r="BI53" s="8">
        <v>0</v>
      </c>
      <c r="BJ53" s="8">
        <v>714.51171875</v>
      </c>
      <c r="BK53" s="8">
        <v>7.6201994419098096</v>
      </c>
      <c r="BL53" s="8">
        <v>9773.6871157884598</v>
      </c>
      <c r="BM53" s="8">
        <v>38.75</v>
      </c>
      <c r="BN53" s="8">
        <v>24836.726756393913</v>
      </c>
      <c r="BO53" s="8">
        <v>2501.2421760559087</v>
      </c>
    </row>
    <row r="54" spans="18:71" x14ac:dyDescent="0.25">
      <c r="R54" s="56">
        <v>37377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BF54" s="56">
        <v>37377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</row>
    <row r="55" spans="18:71" x14ac:dyDescent="0.25">
      <c r="R55" s="56">
        <v>37408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BF55" s="56">
        <v>37408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</row>
    <row r="56" spans="18:71" x14ac:dyDescent="0.25">
      <c r="R56" s="56">
        <v>37438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BF56" s="56">
        <v>37438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</row>
    <row r="57" spans="18:71" x14ac:dyDescent="0.25">
      <c r="R57" s="56">
        <v>37469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BF57" s="56">
        <v>37469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50.337493896484304</v>
      </c>
      <c r="BO57" s="8">
        <v>0</v>
      </c>
    </row>
    <row r="58" spans="18:71" x14ac:dyDescent="0.25">
      <c r="R58" s="56">
        <v>37500</v>
      </c>
      <c r="S58" s="8">
        <v>1925.685933351517</v>
      </c>
      <c r="T58" s="8">
        <v>49.534420013427699</v>
      </c>
      <c r="U58" s="8">
        <v>0</v>
      </c>
      <c r="V58" s="8">
        <v>0</v>
      </c>
      <c r="W58" s="8">
        <v>0.19636750221252397</v>
      </c>
      <c r="X58" s="8">
        <v>0</v>
      </c>
      <c r="Y58" s="8">
        <v>0</v>
      </c>
      <c r="Z58" s="8">
        <v>0</v>
      </c>
      <c r="AA58" s="8">
        <v>0</v>
      </c>
      <c r="BF58" s="56">
        <v>37500</v>
      </c>
      <c r="BG58" s="8">
        <v>1925.685933351517</v>
      </c>
      <c r="BH58" s="8">
        <v>49.534420013427699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620.72371071577072</v>
      </c>
      <c r="BO58" s="8">
        <v>0</v>
      </c>
    </row>
    <row r="59" spans="18:71" x14ac:dyDescent="0.25">
      <c r="R59" s="56">
        <v>37530</v>
      </c>
      <c r="S59" s="8">
        <v>18.24137556552887</v>
      </c>
      <c r="T59" s="8">
        <v>0</v>
      </c>
      <c r="U59" s="8">
        <v>0</v>
      </c>
      <c r="V59" s="8">
        <v>0</v>
      </c>
      <c r="W59" s="8">
        <v>0.60873925685882435</v>
      </c>
      <c r="X59" s="8">
        <v>0</v>
      </c>
      <c r="Y59" s="8">
        <v>4155.8845500946045</v>
      </c>
      <c r="Z59" s="8">
        <v>0</v>
      </c>
      <c r="AA59" s="8">
        <v>0</v>
      </c>
      <c r="BF59" s="56">
        <v>37530</v>
      </c>
      <c r="BG59" s="8">
        <v>18.24137556552887</v>
      </c>
      <c r="BH59" s="8">
        <v>0</v>
      </c>
      <c r="BI59" s="8">
        <v>0</v>
      </c>
      <c r="BJ59" s="8">
        <v>0</v>
      </c>
      <c r="BK59" s="8">
        <v>4356.5717716217014</v>
      </c>
      <c r="BL59" s="8">
        <v>0</v>
      </c>
      <c r="BM59" s="8">
        <v>0</v>
      </c>
      <c r="BN59" s="8">
        <v>229.40111485868695</v>
      </c>
      <c r="BO59" s="8">
        <v>0</v>
      </c>
    </row>
    <row r="60" spans="18:71" x14ac:dyDescent="0.25">
      <c r="R60" s="56">
        <v>37561</v>
      </c>
      <c r="S60" s="8">
        <v>559.97093582153332</v>
      </c>
      <c r="T60" s="8">
        <v>0</v>
      </c>
      <c r="U60" s="8">
        <v>0</v>
      </c>
      <c r="V60" s="8">
        <v>0</v>
      </c>
      <c r="W60" s="8">
        <v>188.00386691093442</v>
      </c>
      <c r="X60" s="8">
        <v>0</v>
      </c>
      <c r="Y60" s="8">
        <v>7808.4329719543457</v>
      </c>
      <c r="Z60" s="8">
        <v>0</v>
      </c>
      <c r="AA60" s="8">
        <v>0</v>
      </c>
      <c r="AB60" s="56">
        <f>R60</f>
        <v>37561</v>
      </c>
      <c r="AC60" s="8">
        <f>SUM(S56:S60)+SUM(Y56:Y60)</f>
        <v>14468.215766787529</v>
      </c>
      <c r="AD60" s="8">
        <f>SUM(T48:T59)+SUM(U48:U59)+SUM(V48:V59)+SUM(W48:W59)+SUM(X48:X59)+SUM(Z48:Z59)+SUM(AA48:AA59)</f>
        <v>103466.91098866615</v>
      </c>
      <c r="AE60" s="8"/>
      <c r="BF60" s="56">
        <v>37561</v>
      </c>
      <c r="BG60" s="8">
        <v>559.97093582153332</v>
      </c>
      <c r="BH60" s="8">
        <v>0</v>
      </c>
      <c r="BI60" s="8">
        <v>0</v>
      </c>
      <c r="BJ60" s="8">
        <v>0</v>
      </c>
      <c r="BK60" s="8">
        <v>7915.4545860290509</v>
      </c>
      <c r="BL60" s="8">
        <v>0</v>
      </c>
      <c r="BM60" s="8">
        <v>0</v>
      </c>
      <c r="BN60" s="8">
        <v>124.97086000442501</v>
      </c>
      <c r="BO60" s="8">
        <v>0</v>
      </c>
      <c r="BP60" s="56">
        <f>BF60</f>
        <v>37561</v>
      </c>
      <c r="BQ60" s="8">
        <f>SUM(BG56:BG60)+SUM(BK56:BK60)</f>
        <v>14775.924602389332</v>
      </c>
      <c r="BR60" s="8">
        <f>SUM(BH48:BH59)+SUM(BI48:BI59)+SUM(BJ48:BJ59)+SUM(BL48:BL59)+SUM(BM48:BM59)+SUM(BN48:BN59)</f>
        <v>99724.076329495787</v>
      </c>
      <c r="BS60" s="8">
        <f>SUM(BO48:BO59)</f>
        <v>3700.1669960021977</v>
      </c>
    </row>
    <row r="61" spans="18:71" x14ac:dyDescent="0.25">
      <c r="R61" s="56">
        <v>37591</v>
      </c>
      <c r="S61" s="8">
        <v>1425.895206451416</v>
      </c>
      <c r="T61" s="8">
        <v>39.343994140625</v>
      </c>
      <c r="U61" s="8">
        <v>0</v>
      </c>
      <c r="V61" s="8">
        <v>0</v>
      </c>
      <c r="W61" s="8">
        <v>1060.2037249803543</v>
      </c>
      <c r="X61" s="8">
        <v>0</v>
      </c>
      <c r="Y61" s="8">
        <v>6271.7651786804199</v>
      </c>
      <c r="Z61" s="8">
        <v>0</v>
      </c>
      <c r="AA61" s="8">
        <v>0</v>
      </c>
      <c r="BF61" s="56">
        <v>37591</v>
      </c>
      <c r="BG61" s="8">
        <v>1425.895206451416</v>
      </c>
      <c r="BH61" s="8">
        <v>39.343994140625</v>
      </c>
      <c r="BI61" s="8">
        <v>0</v>
      </c>
      <c r="BJ61" s="8">
        <v>0</v>
      </c>
      <c r="BK61" s="8">
        <v>7009.3844394683865</v>
      </c>
      <c r="BL61" s="8">
        <v>0</v>
      </c>
      <c r="BM61" s="8">
        <v>0</v>
      </c>
      <c r="BN61" s="8">
        <v>900.19549465179455</v>
      </c>
      <c r="BO61" s="8">
        <v>0</v>
      </c>
      <c r="BQ61" s="8">
        <f>SUM(BG56:BG64)+SUM(BK56:BK64)</f>
        <v>29336.383074402809</v>
      </c>
      <c r="BR61" s="8">
        <f>SUM(BH60:BH64)+SUM(BI60:BI64)+SUM(BJ60:BJ64)+SUM(BL60:BL64)+SUM(BM60:BM64)+SUM(BN60:BN64)+SUM(BO60:BO64)</f>
        <v>25154.967847663909</v>
      </c>
    </row>
    <row r="62" spans="18:71" x14ac:dyDescent="0.25">
      <c r="R62" s="56">
        <v>37622</v>
      </c>
      <c r="S62" s="8">
        <v>2244.6727142333984</v>
      </c>
      <c r="T62" s="8">
        <v>0</v>
      </c>
      <c r="U62" s="8">
        <v>0</v>
      </c>
      <c r="V62" s="8">
        <v>0</v>
      </c>
      <c r="W62" s="8">
        <v>264.66404509544378</v>
      </c>
      <c r="X62" s="8">
        <v>0</v>
      </c>
      <c r="Y62" s="8">
        <v>86.606353759765597</v>
      </c>
      <c r="Z62" s="8">
        <v>0</v>
      </c>
      <c r="AA62" s="8">
        <v>0</v>
      </c>
      <c r="BF62" s="56">
        <v>37622</v>
      </c>
      <c r="BG62" s="8">
        <v>2244.6727142333984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264.85727888345718</v>
      </c>
      <c r="BO62" s="8">
        <v>0</v>
      </c>
    </row>
    <row r="63" spans="18:71" x14ac:dyDescent="0.25">
      <c r="R63" s="56">
        <v>37653</v>
      </c>
      <c r="S63" s="8">
        <v>999.0289542675016</v>
      </c>
      <c r="T63" s="8">
        <v>5363.1644744873047</v>
      </c>
      <c r="U63" s="8">
        <v>0</v>
      </c>
      <c r="V63" s="8">
        <v>0</v>
      </c>
      <c r="W63" s="8">
        <v>726.85225550830364</v>
      </c>
      <c r="X63" s="8">
        <v>0</v>
      </c>
      <c r="Y63" s="8">
        <v>0</v>
      </c>
      <c r="Z63" s="8">
        <v>184.0489070415498</v>
      </c>
      <c r="AA63" s="8">
        <v>0</v>
      </c>
      <c r="BF63" s="56">
        <v>37653</v>
      </c>
      <c r="BG63" s="8">
        <v>999.0289542675016</v>
      </c>
      <c r="BH63" s="8">
        <v>5363.1644744873047</v>
      </c>
      <c r="BI63" s="8">
        <v>0</v>
      </c>
      <c r="BJ63" s="8">
        <v>0</v>
      </c>
      <c r="BK63" s="8">
        <v>0</v>
      </c>
      <c r="BL63" s="8">
        <v>181.0281566381455</v>
      </c>
      <c r="BM63" s="8">
        <v>0</v>
      </c>
      <c r="BN63" s="8">
        <v>677.00177325308277</v>
      </c>
      <c r="BO63" s="8">
        <v>0</v>
      </c>
    </row>
    <row r="64" spans="18:71" x14ac:dyDescent="0.25">
      <c r="R64" s="56">
        <v>37681</v>
      </c>
      <c r="S64" s="8">
        <v>110.92635345458979</v>
      </c>
      <c r="T64" s="8">
        <v>790.45718574523949</v>
      </c>
      <c r="U64" s="8">
        <v>0</v>
      </c>
      <c r="V64" s="8">
        <v>3120.0521564520891</v>
      </c>
      <c r="W64" s="8">
        <v>8296.6224142536503</v>
      </c>
      <c r="X64" s="8">
        <v>0</v>
      </c>
      <c r="Y64" s="8">
        <v>0</v>
      </c>
      <c r="Z64" s="8">
        <v>7477.4405212402389</v>
      </c>
      <c r="AA64" s="8">
        <v>0</v>
      </c>
      <c r="BF64" s="56">
        <v>37681</v>
      </c>
      <c r="BG64" s="8">
        <v>110.92635345458979</v>
      </c>
      <c r="BH64" s="8">
        <v>790.45718574523949</v>
      </c>
      <c r="BI64" s="8">
        <v>0</v>
      </c>
      <c r="BJ64" s="8">
        <v>3120.0521564520891</v>
      </c>
      <c r="BK64" s="8">
        <v>2770.5508041381836</v>
      </c>
      <c r="BL64" s="8">
        <v>6679.7075958251935</v>
      </c>
      <c r="BM64" s="8">
        <v>0</v>
      </c>
      <c r="BN64" s="8">
        <v>7014.18887758255</v>
      </c>
      <c r="BO64" s="8">
        <v>0</v>
      </c>
    </row>
    <row r="65" spans="18:71" x14ac:dyDescent="0.25">
      <c r="R65" s="56">
        <v>37712</v>
      </c>
      <c r="S65" s="8">
        <v>221.89741516113287</v>
      </c>
      <c r="T65" s="8">
        <v>0</v>
      </c>
      <c r="U65" s="8">
        <v>0</v>
      </c>
      <c r="V65" s="8">
        <v>2181.376217648386</v>
      </c>
      <c r="W65" s="8">
        <v>621.07447242736794</v>
      </c>
      <c r="X65" s="8">
        <v>0</v>
      </c>
      <c r="Y65" s="8">
        <v>0</v>
      </c>
      <c r="Z65" s="8">
        <v>0</v>
      </c>
      <c r="AA65" s="8">
        <v>0</v>
      </c>
      <c r="BF65" s="56">
        <v>37712</v>
      </c>
      <c r="BG65" s="8">
        <v>221.89741516113287</v>
      </c>
      <c r="BH65" s="8">
        <v>0</v>
      </c>
      <c r="BI65" s="8">
        <v>0</v>
      </c>
      <c r="BJ65" s="8">
        <v>2181.376217648386</v>
      </c>
      <c r="BK65" s="8">
        <v>20.888148993253733</v>
      </c>
      <c r="BL65" s="8">
        <v>0</v>
      </c>
      <c r="BM65" s="8">
        <v>0</v>
      </c>
      <c r="BN65" s="8">
        <v>642.02591505646706</v>
      </c>
      <c r="BO65" s="8">
        <v>0</v>
      </c>
    </row>
    <row r="66" spans="18:71" x14ac:dyDescent="0.25">
      <c r="R66" s="56">
        <v>37742</v>
      </c>
      <c r="S66" s="8">
        <v>173.41283512115493</v>
      </c>
      <c r="T66" s="8">
        <v>0</v>
      </c>
      <c r="U66" s="8">
        <v>0</v>
      </c>
      <c r="V66" s="8">
        <v>716.02885931730236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BF66" s="56">
        <v>37742</v>
      </c>
      <c r="BG66" s="8">
        <v>173.41283512115493</v>
      </c>
      <c r="BH66" s="8">
        <v>0</v>
      </c>
      <c r="BI66" s="8">
        <v>0</v>
      </c>
      <c r="BJ66" s="8">
        <v>716.02885931730236</v>
      </c>
      <c r="BK66" s="8">
        <v>0</v>
      </c>
      <c r="BL66" s="8">
        <v>0</v>
      </c>
      <c r="BM66" s="8">
        <v>0</v>
      </c>
      <c r="BN66" s="8">
        <v>7.4586042463779476</v>
      </c>
      <c r="BO66" s="8">
        <v>0</v>
      </c>
    </row>
    <row r="67" spans="18:71" x14ac:dyDescent="0.25">
      <c r="R67" s="56">
        <v>37773</v>
      </c>
      <c r="S67" s="8">
        <v>105.86276006698614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BF67" s="56">
        <v>37773</v>
      </c>
      <c r="BG67" s="8">
        <v>105.86276006698614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7.3493699058890405</v>
      </c>
      <c r="BO67" s="8">
        <v>0</v>
      </c>
    </row>
    <row r="68" spans="18:71" x14ac:dyDescent="0.25">
      <c r="R68" s="56">
        <v>37803</v>
      </c>
      <c r="S68" s="8">
        <v>145.74012041091916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BF68" s="56">
        <v>37803</v>
      </c>
      <c r="BG68" s="8">
        <v>145.74012041091916</v>
      </c>
      <c r="BH68" s="8">
        <v>0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4.1093112006783539</v>
      </c>
      <c r="BO68" s="8">
        <v>0</v>
      </c>
    </row>
    <row r="69" spans="18:71" x14ac:dyDescent="0.25">
      <c r="R69" s="56">
        <v>37834</v>
      </c>
      <c r="S69" s="8">
        <v>186.05587935447696</v>
      </c>
      <c r="T69" s="8">
        <v>0</v>
      </c>
      <c r="U69" s="8">
        <v>0</v>
      </c>
      <c r="V69" s="8">
        <v>0</v>
      </c>
      <c r="W69" s="8">
        <v>5.2836405932903263</v>
      </c>
      <c r="X69" s="8">
        <v>0</v>
      </c>
      <c r="Y69" s="8">
        <v>0</v>
      </c>
      <c r="Z69" s="8">
        <v>0</v>
      </c>
      <c r="AA69" s="8">
        <v>0</v>
      </c>
      <c r="BF69" s="56">
        <v>37834</v>
      </c>
      <c r="BG69" s="8">
        <v>186.05587935447696</v>
      </c>
      <c r="BH69" s="8">
        <v>0</v>
      </c>
      <c r="BI69" s="8">
        <v>0</v>
      </c>
      <c r="BJ69" s="8">
        <v>0</v>
      </c>
      <c r="BK69" s="8">
        <v>113.14810752868655</v>
      </c>
      <c r="BL69" s="8">
        <v>0</v>
      </c>
      <c r="BM69" s="8">
        <v>0</v>
      </c>
      <c r="BN69" s="8">
        <v>15.932541251182556</v>
      </c>
      <c r="BO69" s="8">
        <v>0</v>
      </c>
    </row>
    <row r="70" spans="18:71" x14ac:dyDescent="0.25">
      <c r="R70" s="56">
        <v>37865</v>
      </c>
      <c r="S70" s="8">
        <v>744.36066675186146</v>
      </c>
      <c r="T70" s="8">
        <v>0</v>
      </c>
      <c r="U70" s="8">
        <v>0</v>
      </c>
      <c r="V70" s="8">
        <v>0</v>
      </c>
      <c r="W70" s="8">
        <v>28.436659336090109</v>
      </c>
      <c r="X70" s="8">
        <v>0</v>
      </c>
      <c r="Y70" s="8">
        <v>0</v>
      </c>
      <c r="Z70" s="8">
        <v>0</v>
      </c>
      <c r="AA70" s="8">
        <v>0</v>
      </c>
      <c r="BF70" s="56">
        <v>37865</v>
      </c>
      <c r="BG70" s="8">
        <v>744.36066675186146</v>
      </c>
      <c r="BH70" s="8">
        <v>0</v>
      </c>
      <c r="BI70" s="8">
        <v>0</v>
      </c>
      <c r="BJ70" s="8">
        <v>0</v>
      </c>
      <c r="BK70" s="8">
        <v>797.0253200530999</v>
      </c>
      <c r="BL70" s="8">
        <v>0</v>
      </c>
      <c r="BM70" s="8">
        <v>0</v>
      </c>
      <c r="BN70" s="8">
        <v>607.44726046919834</v>
      </c>
      <c r="BO70" s="8">
        <v>0</v>
      </c>
    </row>
    <row r="71" spans="18:71" x14ac:dyDescent="0.25">
      <c r="R71" s="56">
        <v>37895</v>
      </c>
      <c r="S71" s="8">
        <v>209.73467811942123</v>
      </c>
      <c r="T71" s="8">
        <v>2228.9833946227977</v>
      </c>
      <c r="U71" s="8">
        <v>0</v>
      </c>
      <c r="V71" s="8">
        <v>2452.8198424279699</v>
      </c>
      <c r="W71" s="8">
        <v>2817.3181682638833</v>
      </c>
      <c r="X71" s="8">
        <v>0</v>
      </c>
      <c r="Y71" s="8">
        <v>1147.2930748462677</v>
      </c>
      <c r="Z71" s="8">
        <v>2852.2931351661682</v>
      </c>
      <c r="AA71" s="8">
        <v>0</v>
      </c>
      <c r="BF71" s="56">
        <v>37895</v>
      </c>
      <c r="BG71" s="8">
        <v>209.73467811942123</v>
      </c>
      <c r="BH71" s="8">
        <v>2228.9833946227977</v>
      </c>
      <c r="BI71" s="8">
        <v>0</v>
      </c>
      <c r="BJ71" s="8">
        <v>2452.8198424279699</v>
      </c>
      <c r="BK71" s="8">
        <v>2463.696532726286</v>
      </c>
      <c r="BL71" s="8">
        <v>2861.5830287933359</v>
      </c>
      <c r="BM71" s="8">
        <v>0</v>
      </c>
      <c r="BN71" s="8">
        <v>3345.1392223387948</v>
      </c>
      <c r="BO71" s="8">
        <v>0</v>
      </c>
    </row>
    <row r="72" spans="18:71" x14ac:dyDescent="0.25">
      <c r="R72" s="56">
        <v>37926</v>
      </c>
      <c r="S72" s="8">
        <v>400.74734497070312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1751.6041221618652</v>
      </c>
      <c r="Z72" s="8">
        <v>0</v>
      </c>
      <c r="AA72" s="8">
        <v>0</v>
      </c>
      <c r="AB72" s="56">
        <f>R72</f>
        <v>37926</v>
      </c>
      <c r="AC72" s="8">
        <f>SUM(S68:S72)+SUM(Y68:Y72)</f>
        <v>4585.5358866155148</v>
      </c>
      <c r="AD72" s="8">
        <f>SUM(T60:T71)+SUM(U60:U71)+SUM(V60:V71)+SUM(W60:W71)+SUM(X60:X71)+SUM(Z60:Z71)+SUM(AA60:AA71)</f>
        <v>41414.467935658991</v>
      </c>
      <c r="AE72" s="8"/>
      <c r="BF72" s="56">
        <v>37926</v>
      </c>
      <c r="BG72" s="8">
        <v>400.74734497070312</v>
      </c>
      <c r="BH72" s="8">
        <v>0</v>
      </c>
      <c r="BI72" s="8">
        <v>0</v>
      </c>
      <c r="BJ72" s="8">
        <v>0</v>
      </c>
      <c r="BK72" s="8">
        <v>1524.6902751922621</v>
      </c>
      <c r="BL72" s="8">
        <v>0</v>
      </c>
      <c r="BM72" s="8">
        <v>0</v>
      </c>
      <c r="BN72" s="8">
        <v>366.57622653245903</v>
      </c>
      <c r="BO72" s="8">
        <v>0</v>
      </c>
      <c r="BP72" s="56">
        <f>BF72</f>
        <v>37926</v>
      </c>
      <c r="BQ72" s="8">
        <f>SUM(BG68:BG72)+SUM(BK68:BK72)</f>
        <v>6585.1989251077157</v>
      </c>
      <c r="BR72" s="8">
        <f>SUM(BH60:BH71)+SUM(BI60:BI71)+SUM(BJ60:BJ71)+SUM(BL60:BL71)+SUM(BM60:BM71)+SUM(BN60:BN71)</f>
        <v>40225.221414942287</v>
      </c>
      <c r="BS72" s="8">
        <f>SUM(BO60:BO71)</f>
        <v>0</v>
      </c>
    </row>
    <row r="73" spans="18:71" x14ac:dyDescent="0.25">
      <c r="R73" s="56">
        <v>37956</v>
      </c>
      <c r="S73" s="8">
        <v>602.79032793035708</v>
      </c>
      <c r="T73" s="8">
        <v>56.183204650878899</v>
      </c>
      <c r="U73" s="8">
        <v>0</v>
      </c>
      <c r="V73" s="8">
        <v>4697.9995906054974</v>
      </c>
      <c r="W73" s="8">
        <v>12174.163212776184</v>
      </c>
      <c r="X73" s="8">
        <v>2311.1480102539067</v>
      </c>
      <c r="Y73" s="8">
        <v>2623.9721250534062</v>
      </c>
      <c r="Z73" s="8">
        <v>0</v>
      </c>
      <c r="AA73" s="8">
        <v>71.5948486328125</v>
      </c>
      <c r="BF73" s="56">
        <v>37956</v>
      </c>
      <c r="BG73" s="8">
        <v>602.79032793035708</v>
      </c>
      <c r="BH73" s="8">
        <v>56.183204650878899</v>
      </c>
      <c r="BI73" s="8">
        <v>0</v>
      </c>
      <c r="BJ73" s="8">
        <v>4697.9995906054974</v>
      </c>
      <c r="BK73" s="8">
        <v>2557.4797668457031</v>
      </c>
      <c r="BL73" s="8">
        <v>0</v>
      </c>
      <c r="BM73" s="8">
        <v>56.58203125</v>
      </c>
      <c r="BN73" s="8">
        <v>12452.666299641131</v>
      </c>
      <c r="BO73" s="8">
        <v>2308.5149841308594</v>
      </c>
      <c r="BQ73" s="8">
        <f>SUM(BG68:BG76)+SUM(BK68:BK76)</f>
        <v>13769.430488938</v>
      </c>
      <c r="BR73" s="8">
        <f>SUM(BH72:BH76)+SUM(BI72:BI76)+SUM(BJ72:BJ76)+SUM(BL72:BL76)+SUM(BM72:BM76)+SUM(BN72:BN76)+SUM(BO72:BO76)</f>
        <v>164846.17827270928</v>
      </c>
    </row>
    <row r="74" spans="18:71" x14ac:dyDescent="0.25">
      <c r="R74" s="56">
        <v>37987</v>
      </c>
      <c r="S74" s="8">
        <v>704.0402624607093</v>
      </c>
      <c r="T74" s="8">
        <v>6469.4922790527353</v>
      </c>
      <c r="U74" s="8">
        <v>0</v>
      </c>
      <c r="V74" s="8">
        <v>103.33681106567379</v>
      </c>
      <c r="W74" s="8">
        <v>56563.743307709694</v>
      </c>
      <c r="X74" s="8">
        <v>7055.739990234375</v>
      </c>
      <c r="Y74" s="8">
        <v>2945.7972421646118</v>
      </c>
      <c r="Z74" s="8">
        <v>22565.035123825073</v>
      </c>
      <c r="AA74" s="8">
        <v>286.75</v>
      </c>
      <c r="BF74" s="56">
        <v>37987</v>
      </c>
      <c r="BG74" s="8">
        <v>704.0402624607093</v>
      </c>
      <c r="BH74" s="8">
        <v>6469.4922790527353</v>
      </c>
      <c r="BI74" s="8">
        <v>0</v>
      </c>
      <c r="BJ74" s="8">
        <v>103.33681106567379</v>
      </c>
      <c r="BK74" s="8">
        <v>2874.0212116241451</v>
      </c>
      <c r="BL74" s="8">
        <v>22359.011739730842</v>
      </c>
      <c r="BM74" s="8">
        <v>286.75</v>
      </c>
      <c r="BN74" s="8">
        <v>56355.644490718842</v>
      </c>
      <c r="BO74" s="8">
        <v>7052.6234283447266</v>
      </c>
    </row>
    <row r="75" spans="18:71" x14ac:dyDescent="0.25">
      <c r="R75" s="56">
        <v>38018</v>
      </c>
      <c r="S75" s="8">
        <v>0</v>
      </c>
      <c r="T75" s="8">
        <v>0</v>
      </c>
      <c r="U75" s="8">
        <v>0</v>
      </c>
      <c r="V75" s="8">
        <v>512.11373901367165</v>
      </c>
      <c r="W75" s="8">
        <v>22884.026976302266</v>
      </c>
      <c r="X75" s="8">
        <v>765.88214111328125</v>
      </c>
      <c r="Y75" s="8">
        <v>1.9718213975429539</v>
      </c>
      <c r="Z75" s="8">
        <v>13895.080474853516</v>
      </c>
      <c r="AA75" s="8">
        <v>108.5</v>
      </c>
      <c r="BF75" s="56">
        <v>38018</v>
      </c>
      <c r="BG75" s="8">
        <v>0</v>
      </c>
      <c r="BH75" s="8">
        <v>0</v>
      </c>
      <c r="BI75" s="8">
        <v>0</v>
      </c>
      <c r="BJ75" s="8">
        <v>512.11373901367165</v>
      </c>
      <c r="BK75" s="8">
        <v>34.043568730354288</v>
      </c>
      <c r="BL75" s="8">
        <v>15253.12223815918</v>
      </c>
      <c r="BM75" s="8">
        <v>139.5</v>
      </c>
      <c r="BN75" s="8">
        <v>22812.789509251728</v>
      </c>
      <c r="BO75" s="8">
        <v>786.77545166015625</v>
      </c>
    </row>
    <row r="76" spans="18:71" x14ac:dyDescent="0.25">
      <c r="R76" s="56">
        <v>38047</v>
      </c>
      <c r="S76" s="8">
        <v>411.85642623901407</v>
      </c>
      <c r="T76" s="8">
        <v>0</v>
      </c>
      <c r="U76" s="8">
        <v>0</v>
      </c>
      <c r="V76" s="8">
        <v>119.30384445190425</v>
      </c>
      <c r="W76" s="8">
        <v>7243.8225065618753</v>
      </c>
      <c r="X76" s="8">
        <v>2008.7739868164062</v>
      </c>
      <c r="Y76" s="8">
        <v>0</v>
      </c>
      <c r="Z76" s="8">
        <v>0</v>
      </c>
      <c r="AA76" s="8">
        <v>0</v>
      </c>
      <c r="BF76" s="56">
        <v>38047</v>
      </c>
      <c r="BG76" s="8">
        <v>411.85642623901407</v>
      </c>
      <c r="BH76" s="8">
        <v>0</v>
      </c>
      <c r="BI76" s="8">
        <v>0</v>
      </c>
      <c r="BJ76" s="8">
        <v>119.30384445190425</v>
      </c>
      <c r="BK76" s="8">
        <v>0</v>
      </c>
      <c r="BL76" s="8">
        <v>1721.873046875</v>
      </c>
      <c r="BM76" s="8">
        <v>0</v>
      </c>
      <c r="BN76" s="8">
        <v>8961.6394564509392</v>
      </c>
      <c r="BO76" s="8">
        <v>1973.6799011230469</v>
      </c>
    </row>
    <row r="77" spans="18:71" x14ac:dyDescent="0.25">
      <c r="R77" s="56">
        <v>38078</v>
      </c>
      <c r="S77" s="8">
        <v>380.5014514923098</v>
      </c>
      <c r="T77" s="8">
        <v>0</v>
      </c>
      <c r="U77" s="8">
        <v>0</v>
      </c>
      <c r="V77" s="8">
        <v>0</v>
      </c>
      <c r="W77" s="8">
        <v>746.84560823440563</v>
      </c>
      <c r="X77" s="8">
        <v>0</v>
      </c>
      <c r="Y77" s="8">
        <v>0</v>
      </c>
      <c r="Z77" s="8">
        <v>0</v>
      </c>
      <c r="AA77" s="8">
        <v>0</v>
      </c>
      <c r="BF77" s="56">
        <v>38078</v>
      </c>
      <c r="BG77" s="8">
        <v>380.5014514923098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754.01455694437027</v>
      </c>
      <c r="BO77" s="8">
        <v>0</v>
      </c>
    </row>
    <row r="78" spans="18:71" x14ac:dyDescent="0.25">
      <c r="R78" s="56">
        <v>38108</v>
      </c>
      <c r="S78" s="8">
        <v>625.30395126342773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BF78" s="56">
        <v>38108</v>
      </c>
      <c r="BG78" s="8">
        <v>625.30395126342773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</row>
    <row r="79" spans="18:71" x14ac:dyDescent="0.25">
      <c r="R79" s="56">
        <v>38139</v>
      </c>
      <c r="S79" s="8">
        <v>357.71630191803041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0</v>
      </c>
      <c r="BF79" s="56">
        <v>38139</v>
      </c>
      <c r="BG79" s="8">
        <v>357.71630191803041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</row>
    <row r="80" spans="18:71" x14ac:dyDescent="0.25">
      <c r="R80" s="56">
        <v>38169</v>
      </c>
      <c r="S80" s="8">
        <v>462.71826863288914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BF80" s="56">
        <v>38169</v>
      </c>
      <c r="BG80" s="8">
        <v>462.71826863288914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</row>
    <row r="81" spans="18:71" x14ac:dyDescent="0.25">
      <c r="R81" s="56">
        <v>38200</v>
      </c>
      <c r="S81" s="8">
        <v>1.44647145271301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BF81" s="56">
        <v>38200</v>
      </c>
      <c r="BG81" s="8">
        <v>1.44647145271301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</row>
    <row r="82" spans="18:71" x14ac:dyDescent="0.25">
      <c r="R82" s="56">
        <v>38231</v>
      </c>
      <c r="S82" s="8">
        <v>117.06959724426233</v>
      </c>
      <c r="T82" s="8">
        <v>1043.055013656616</v>
      </c>
      <c r="U82" s="8">
        <v>0</v>
      </c>
      <c r="V82" s="8">
        <v>3019.6055737733855</v>
      </c>
      <c r="W82" s="8">
        <v>4172.0092953145504</v>
      </c>
      <c r="X82" s="8">
        <v>0</v>
      </c>
      <c r="Y82" s="8">
        <v>0</v>
      </c>
      <c r="Z82" s="8">
        <v>3422.3016226291666</v>
      </c>
      <c r="AA82" s="8">
        <v>0</v>
      </c>
      <c r="BF82" s="56">
        <v>38231</v>
      </c>
      <c r="BG82" s="8">
        <v>117.06959724426233</v>
      </c>
      <c r="BH82" s="8">
        <v>1043.055013656616</v>
      </c>
      <c r="BI82" s="8">
        <v>0</v>
      </c>
      <c r="BJ82" s="8">
        <v>3019.6055737733855</v>
      </c>
      <c r="BK82" s="8">
        <v>0</v>
      </c>
      <c r="BL82" s="8">
        <v>1939.7695970535283</v>
      </c>
      <c r="BM82" s="8">
        <v>0</v>
      </c>
      <c r="BN82" s="8">
        <v>2429.764615118504</v>
      </c>
      <c r="BO82" s="8">
        <v>0</v>
      </c>
    </row>
    <row r="83" spans="18:71" x14ac:dyDescent="0.25">
      <c r="R83" s="56">
        <v>38261</v>
      </c>
      <c r="S83" s="8">
        <v>52.738905906677317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0</v>
      </c>
      <c r="BF83" s="56">
        <v>38261</v>
      </c>
      <c r="BG83" s="8">
        <v>52.738905906677317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9.8561759293079376</v>
      </c>
      <c r="BO83" s="8">
        <v>0</v>
      </c>
    </row>
    <row r="84" spans="18:71" x14ac:dyDescent="0.25">
      <c r="R84" s="56">
        <v>38292</v>
      </c>
      <c r="S84" s="8">
        <v>924.73148059844902</v>
      </c>
      <c r="T84" s="8">
        <v>152.853271484375</v>
      </c>
      <c r="U84" s="8">
        <v>0</v>
      </c>
      <c r="V84" s="8">
        <v>10.390000015497211</v>
      </c>
      <c r="W84" s="8">
        <v>784.38951052725361</v>
      </c>
      <c r="X84" s="8">
        <v>0</v>
      </c>
      <c r="Y84" s="8">
        <v>0</v>
      </c>
      <c r="Z84" s="8">
        <v>0</v>
      </c>
      <c r="AA84" s="8">
        <v>0</v>
      </c>
      <c r="AB84" s="56">
        <f>R84</f>
        <v>38292</v>
      </c>
      <c r="AC84" s="8">
        <f>SUM(S80:S84)+SUM(Y80:Y84)</f>
        <v>1558.704723834991</v>
      </c>
      <c r="AD84" s="8">
        <f>SUM(T72:T83)+SUM(U72:U83)+SUM(V72:V83)+SUM(W72:W83)+SUM(X72:X83)+SUM(Z72:Z83)+SUM(AA72:AA83)</f>
        <v>172296.50716152787</v>
      </c>
      <c r="AE84" s="8"/>
      <c r="BF84" s="56">
        <v>38292</v>
      </c>
      <c r="BG84" s="8">
        <v>924.73148059844902</v>
      </c>
      <c r="BH84" s="8">
        <v>152.853271484375</v>
      </c>
      <c r="BI84" s="8">
        <v>0</v>
      </c>
      <c r="BJ84" s="8">
        <v>10.390000015497211</v>
      </c>
      <c r="BK84" s="8">
        <v>0</v>
      </c>
      <c r="BL84" s="8">
        <v>0</v>
      </c>
      <c r="BM84" s="8">
        <v>0</v>
      </c>
      <c r="BN84" s="8">
        <v>721.77508613467182</v>
      </c>
      <c r="BO84" s="8">
        <v>0</v>
      </c>
      <c r="BP84" s="56">
        <f>BF84</f>
        <v>38292</v>
      </c>
      <c r="BQ84" s="8">
        <f>SUM(BG80:BG84)+SUM(BK80:BK84)</f>
        <v>1558.704723834991</v>
      </c>
      <c r="BR84" s="8">
        <f>SUM(BH72:BH83)+SUM(BI72:BI83)+SUM(BJ72:BJ83)+SUM(BL72:BL83)+SUM(BM72:BM83)+SUM(BN72:BN83)</f>
        <v>161920.6500399262</v>
      </c>
      <c r="BS84" s="8">
        <f>SUM(BO72:BO83)</f>
        <v>12121.593765258789</v>
      </c>
    </row>
    <row r="85" spans="18:71" x14ac:dyDescent="0.25">
      <c r="R85" s="56">
        <v>38322</v>
      </c>
      <c r="S85" s="8">
        <v>626.90579223632767</v>
      </c>
      <c r="T85" s="8">
        <v>16944.57455825806</v>
      </c>
      <c r="U85" s="8">
        <v>0</v>
      </c>
      <c r="V85" s="8">
        <v>1742.5629305839536</v>
      </c>
      <c r="W85" s="8">
        <v>10035.30070628226</v>
      </c>
      <c r="X85" s="8">
        <v>303.82285308837891</v>
      </c>
      <c r="Y85" s="8">
        <v>1.15032958984375</v>
      </c>
      <c r="Z85" s="8">
        <v>3985.3195061683655</v>
      </c>
      <c r="AA85" s="8">
        <v>0</v>
      </c>
      <c r="BF85" s="56">
        <v>38322</v>
      </c>
      <c r="BG85" s="8">
        <v>626.90579223632767</v>
      </c>
      <c r="BH85" s="8">
        <v>16944.57455825806</v>
      </c>
      <c r="BI85" s="8">
        <v>0</v>
      </c>
      <c r="BJ85" s="8">
        <v>1742.5629305839536</v>
      </c>
      <c r="BK85" s="8">
        <v>0</v>
      </c>
      <c r="BL85" s="8">
        <v>4183.5271792411804</v>
      </c>
      <c r="BM85" s="8">
        <v>0</v>
      </c>
      <c r="BN85" s="8">
        <v>9048.3905805721897</v>
      </c>
      <c r="BO85" s="8">
        <v>226.38606643676761</v>
      </c>
      <c r="BQ85" s="8">
        <f>SUM(BG80:BG88)+SUM(BK80:BK88)</f>
        <v>9889.9660782814062</v>
      </c>
      <c r="BR85" s="8">
        <f>SUM(BH84:BH88)+SUM(BI84:BI88)+SUM(BJ84:BJ88)+SUM(BL84:BL88)+SUM(BM84:BM88)+SUM(BN84:BN88)+SUM(BO84:BO88)</f>
        <v>61341.56817923487</v>
      </c>
    </row>
    <row r="86" spans="18:71" x14ac:dyDescent="0.25">
      <c r="R86" s="56">
        <v>38353</v>
      </c>
      <c r="S86" s="8">
        <v>0</v>
      </c>
      <c r="T86" s="8">
        <v>3122.2527160644527</v>
      </c>
      <c r="U86" s="8">
        <v>0</v>
      </c>
      <c r="V86" s="8">
        <v>318.56048965454141</v>
      </c>
      <c r="W86" s="8">
        <v>11168.940467923883</v>
      </c>
      <c r="X86" s="8">
        <v>0</v>
      </c>
      <c r="Y86" s="8">
        <v>468.35278320312602</v>
      </c>
      <c r="Z86" s="8">
        <v>10464.259384155279</v>
      </c>
      <c r="AA86" s="8">
        <v>0</v>
      </c>
      <c r="BF86" s="56">
        <v>38353</v>
      </c>
      <c r="BG86" s="8">
        <v>0</v>
      </c>
      <c r="BH86" s="8">
        <v>3122.2527160644527</v>
      </c>
      <c r="BI86" s="8">
        <v>0</v>
      </c>
      <c r="BJ86" s="8">
        <v>318.56048965454141</v>
      </c>
      <c r="BK86" s="8">
        <v>0</v>
      </c>
      <c r="BL86" s="8">
        <v>10549.28670501709</v>
      </c>
      <c r="BM86" s="8">
        <v>0</v>
      </c>
      <c r="BN86" s="8">
        <v>11202.642860420052</v>
      </c>
      <c r="BO86" s="8">
        <v>0</v>
      </c>
    </row>
    <row r="87" spans="18:71" x14ac:dyDescent="0.25">
      <c r="R87" s="56">
        <v>38384</v>
      </c>
      <c r="S87" s="8">
        <v>0</v>
      </c>
      <c r="T87" s="8">
        <v>0</v>
      </c>
      <c r="U87" s="8">
        <v>0</v>
      </c>
      <c r="V87" s="8">
        <v>0</v>
      </c>
      <c r="W87" s="8">
        <v>2292.0607169866585</v>
      </c>
      <c r="X87" s="8">
        <v>0</v>
      </c>
      <c r="Y87" s="8">
        <v>4486.4227066040039</v>
      </c>
      <c r="Z87" s="8">
        <v>0</v>
      </c>
      <c r="AA87" s="8">
        <v>0</v>
      </c>
      <c r="BF87" s="56">
        <v>38384</v>
      </c>
      <c r="BG87" s="8">
        <v>0</v>
      </c>
      <c r="BH87" s="8">
        <v>0</v>
      </c>
      <c r="BI87" s="8">
        <v>0</v>
      </c>
      <c r="BJ87" s="8">
        <v>0</v>
      </c>
      <c r="BK87" s="8">
        <v>4329.7261810302771</v>
      </c>
      <c r="BL87" s="8">
        <v>0</v>
      </c>
      <c r="BM87" s="8">
        <v>0</v>
      </c>
      <c r="BN87" s="8">
        <v>2445.6237872242937</v>
      </c>
      <c r="BO87" s="8">
        <v>0</v>
      </c>
    </row>
    <row r="88" spans="18:71" x14ac:dyDescent="0.25">
      <c r="R88" s="56">
        <v>38412</v>
      </c>
      <c r="S88" s="8">
        <v>132.70375823974609</v>
      </c>
      <c r="T88" s="8">
        <v>0</v>
      </c>
      <c r="U88" s="8">
        <v>0</v>
      </c>
      <c r="V88" s="8">
        <v>0</v>
      </c>
      <c r="W88" s="8">
        <v>667.34870487451553</v>
      </c>
      <c r="X88" s="8">
        <v>0</v>
      </c>
      <c r="Y88" s="8">
        <v>3214.8067455291748</v>
      </c>
      <c r="Z88" s="8">
        <v>0</v>
      </c>
      <c r="AA88" s="8">
        <v>0</v>
      </c>
      <c r="BF88" s="56">
        <v>38412</v>
      </c>
      <c r="BG88" s="8">
        <v>132.70375823974609</v>
      </c>
      <c r="BH88" s="8">
        <v>0</v>
      </c>
      <c r="BI88" s="8">
        <v>0</v>
      </c>
      <c r="BJ88" s="8">
        <v>0</v>
      </c>
      <c r="BK88" s="8">
        <v>3241.9256229400635</v>
      </c>
      <c r="BL88" s="8">
        <v>0</v>
      </c>
      <c r="BM88" s="8">
        <v>0</v>
      </c>
      <c r="BN88" s="8">
        <v>672.74194812774647</v>
      </c>
      <c r="BO88" s="8">
        <v>0</v>
      </c>
    </row>
    <row r="89" spans="18:71" x14ac:dyDescent="0.25">
      <c r="R89" s="56">
        <v>38443</v>
      </c>
      <c r="S89" s="8">
        <v>82.976863861083999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11.179266631603253</v>
      </c>
      <c r="Z89" s="8">
        <v>0</v>
      </c>
      <c r="AA89" s="8">
        <v>0</v>
      </c>
      <c r="BF89" s="56">
        <v>38443</v>
      </c>
      <c r="BG89" s="8">
        <v>82.976863861083999</v>
      </c>
      <c r="BH89" s="8">
        <v>0</v>
      </c>
      <c r="BI89" s="8">
        <v>0</v>
      </c>
      <c r="BJ89" s="8">
        <v>0</v>
      </c>
      <c r="BK89" s="8">
        <v>11.497790127992626</v>
      </c>
      <c r="BL89" s="8">
        <v>0</v>
      </c>
      <c r="BM89" s="8">
        <v>0</v>
      </c>
      <c r="BN89" s="8">
        <v>0</v>
      </c>
      <c r="BO89" s="8">
        <v>0</v>
      </c>
    </row>
    <row r="90" spans="18:71" x14ac:dyDescent="0.25">
      <c r="R90" s="56">
        <v>38473</v>
      </c>
      <c r="S90" s="8">
        <v>0</v>
      </c>
      <c r="T90" s="8">
        <v>0</v>
      </c>
      <c r="U90" s="8">
        <v>0</v>
      </c>
      <c r="V90" s="8">
        <v>0</v>
      </c>
      <c r="W90" s="8">
        <v>145.39246428012865</v>
      </c>
      <c r="X90" s="8">
        <v>0</v>
      </c>
      <c r="Y90" s="8">
        <v>0</v>
      </c>
      <c r="Z90" s="8">
        <v>0</v>
      </c>
      <c r="AA90" s="8">
        <v>0</v>
      </c>
      <c r="BF90" s="56">
        <v>38473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149.35138380527522</v>
      </c>
      <c r="BO90" s="8">
        <v>0</v>
      </c>
    </row>
    <row r="91" spans="18:71" x14ac:dyDescent="0.25">
      <c r="R91" s="56">
        <v>38504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BF91" s="56">
        <v>38504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</row>
    <row r="92" spans="18:71" x14ac:dyDescent="0.25">
      <c r="R92" s="56">
        <v>38534</v>
      </c>
      <c r="S92" s="8">
        <v>0</v>
      </c>
      <c r="T92" s="8">
        <v>7427.8301869630786</v>
      </c>
      <c r="U92" s="8">
        <v>0</v>
      </c>
      <c r="V92" s="8">
        <v>5381.3455350100994</v>
      </c>
      <c r="W92" s="8">
        <v>10151.38600887358</v>
      </c>
      <c r="X92" s="8">
        <v>2672.7648010253911</v>
      </c>
      <c r="Y92" s="8">
        <v>0</v>
      </c>
      <c r="Z92" s="8">
        <v>0</v>
      </c>
      <c r="AA92" s="8">
        <v>27.17919921875</v>
      </c>
      <c r="BF92" s="56">
        <v>38534</v>
      </c>
      <c r="BG92" s="8">
        <v>0</v>
      </c>
      <c r="BH92" s="8">
        <v>7427.8301869630786</v>
      </c>
      <c r="BI92" s="8">
        <v>0</v>
      </c>
      <c r="BJ92" s="8">
        <v>5381.3455350100994</v>
      </c>
      <c r="BK92" s="8">
        <v>0</v>
      </c>
      <c r="BL92" s="8">
        <v>0</v>
      </c>
      <c r="BM92" s="8">
        <v>0</v>
      </c>
      <c r="BN92" s="8">
        <v>9781.7228631991911</v>
      </c>
      <c r="BO92" s="8">
        <v>2671.4349060058589</v>
      </c>
    </row>
    <row r="93" spans="18:71" x14ac:dyDescent="0.25">
      <c r="R93" s="56">
        <v>38565</v>
      </c>
      <c r="S93" s="8">
        <v>0</v>
      </c>
      <c r="T93" s="8">
        <v>0</v>
      </c>
      <c r="U93" s="8">
        <v>0</v>
      </c>
      <c r="V93" s="8">
        <v>59.040240876376586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BF93" s="56">
        <v>38565</v>
      </c>
      <c r="BG93" s="8">
        <v>0</v>
      </c>
      <c r="BH93" s="8">
        <v>0</v>
      </c>
      <c r="BI93" s="8">
        <v>0</v>
      </c>
      <c r="BJ93" s="8">
        <v>59.040240876376586</v>
      </c>
      <c r="BK93" s="8">
        <v>0</v>
      </c>
      <c r="BL93" s="8">
        <v>0</v>
      </c>
      <c r="BM93" s="8">
        <v>0</v>
      </c>
      <c r="BN93" s="8">
        <v>75.540015220642104</v>
      </c>
      <c r="BO93" s="8">
        <v>0</v>
      </c>
    </row>
    <row r="94" spans="18:71" x14ac:dyDescent="0.25">
      <c r="R94" s="56">
        <v>38596</v>
      </c>
      <c r="S94" s="8">
        <v>282.88244581222523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BF94" s="56">
        <v>38596</v>
      </c>
      <c r="BG94" s="8">
        <v>282.88244581222523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372.69990468025208</v>
      </c>
      <c r="BO94" s="8">
        <v>0</v>
      </c>
    </row>
    <row r="95" spans="18:71" x14ac:dyDescent="0.25">
      <c r="R95" s="56">
        <v>38626</v>
      </c>
      <c r="S95" s="8">
        <v>136.23708271980286</v>
      </c>
      <c r="T95" s="8">
        <v>0</v>
      </c>
      <c r="U95" s="8">
        <v>0</v>
      </c>
      <c r="V95" s="8">
        <v>0</v>
      </c>
      <c r="W95" s="8">
        <v>552.22081955522276</v>
      </c>
      <c r="X95" s="8">
        <v>0</v>
      </c>
      <c r="Y95" s="8">
        <v>1910.2008337974542</v>
      </c>
      <c r="Z95" s="8">
        <v>0</v>
      </c>
      <c r="AA95" s="8">
        <v>0</v>
      </c>
      <c r="BF95" s="56">
        <v>38626</v>
      </c>
      <c r="BG95" s="8">
        <v>136.23708271980286</v>
      </c>
      <c r="BH95" s="8">
        <v>0</v>
      </c>
      <c r="BI95" s="8">
        <v>0</v>
      </c>
      <c r="BJ95" s="8">
        <v>0</v>
      </c>
      <c r="BK95" s="8">
        <v>1841.4540052413968</v>
      </c>
      <c r="BL95" s="8">
        <v>0</v>
      </c>
      <c r="BM95" s="8">
        <v>0</v>
      </c>
      <c r="BN95" s="8">
        <v>900.5559301376345</v>
      </c>
      <c r="BO95" s="8">
        <v>0</v>
      </c>
    </row>
    <row r="96" spans="18:71" x14ac:dyDescent="0.25">
      <c r="R96" s="56">
        <v>38657</v>
      </c>
      <c r="S96" s="8">
        <v>321.98952722549438</v>
      </c>
      <c r="T96" s="8">
        <v>1870.3247680664108</v>
      </c>
      <c r="U96" s="8">
        <v>0</v>
      </c>
      <c r="V96" s="8">
        <v>936.18082642555225</v>
      </c>
      <c r="W96" s="8">
        <v>2259.0248695611954</v>
      </c>
      <c r="X96" s="8">
        <v>0</v>
      </c>
      <c r="Y96" s="8">
        <v>4389.1301393508875</v>
      </c>
      <c r="Z96" s="8">
        <v>0</v>
      </c>
      <c r="AA96" s="8">
        <v>0</v>
      </c>
      <c r="AB96" s="56">
        <f>R96</f>
        <v>38657</v>
      </c>
      <c r="AC96" s="8">
        <f>SUM(S92:S96)+SUM(Y92:Y96)</f>
        <v>7040.440028905864</v>
      </c>
      <c r="AD96" s="8">
        <f>SUM(T84:T95)+SUM(U84:U95)+SUM(V84:V95)+SUM(W84:W95)+SUM(X84:X95)+SUM(Z84:Z95)+SUM(AA84:AA95)</f>
        <v>88409.795071870089</v>
      </c>
      <c r="AE96" s="8"/>
      <c r="BF96" s="56">
        <v>38657</v>
      </c>
      <c r="BG96" s="8">
        <v>321.98952722549438</v>
      </c>
      <c r="BH96" s="8">
        <v>1870.3247680664108</v>
      </c>
      <c r="BI96" s="8">
        <v>0</v>
      </c>
      <c r="BJ96" s="8">
        <v>936.18082642555225</v>
      </c>
      <c r="BK96" s="8">
        <v>4359.9130501747131</v>
      </c>
      <c r="BL96" s="8">
        <v>675.94560241699219</v>
      </c>
      <c r="BM96" s="8">
        <v>0</v>
      </c>
      <c r="BN96" s="8">
        <v>2515.4865959882727</v>
      </c>
      <c r="BO96" s="8">
        <v>0</v>
      </c>
      <c r="BP96" s="56">
        <f>BF96</f>
        <v>38657</v>
      </c>
      <c r="BQ96" s="8">
        <f>SUM(BG92:BG96)+SUM(BK92:BK96)</f>
        <v>6942.4761111736325</v>
      </c>
      <c r="BR96" s="8">
        <f>SUM(BH84:BH95)+SUM(BI84:BI95)+SUM(BJ84:BJ95)+SUM(BL84:BL95)+SUM(BM84:BM95)+SUM(BN84:BN95)</f>
        <v>85263.268172690645</v>
      </c>
      <c r="BS96" s="8">
        <f>SUM(BO84:BO95)</f>
        <v>2897.8209724426265</v>
      </c>
    </row>
    <row r="97" spans="18:71" x14ac:dyDescent="0.25">
      <c r="R97" s="56">
        <v>38687</v>
      </c>
      <c r="S97" s="8">
        <v>801.05518344044674</v>
      </c>
      <c r="T97" s="8">
        <v>2456.5180912017813</v>
      </c>
      <c r="U97" s="8">
        <v>0</v>
      </c>
      <c r="V97" s="8">
        <v>85.028836928308095</v>
      </c>
      <c r="W97" s="8">
        <v>7982.0909242630005</v>
      </c>
      <c r="X97" s="8">
        <v>0</v>
      </c>
      <c r="Y97" s="8">
        <v>7326.9774036407498</v>
      </c>
      <c r="Z97" s="8">
        <v>1346.8113441467285</v>
      </c>
      <c r="AA97" s="8">
        <v>0</v>
      </c>
      <c r="BF97" s="56">
        <v>38687</v>
      </c>
      <c r="BG97" s="8">
        <v>801.05518344044674</v>
      </c>
      <c r="BH97" s="8">
        <v>2456.5180912017813</v>
      </c>
      <c r="BI97" s="8">
        <v>0</v>
      </c>
      <c r="BJ97" s="8">
        <v>85.028836928308095</v>
      </c>
      <c r="BK97" s="8">
        <v>7396.6238012313843</v>
      </c>
      <c r="BL97" s="8">
        <v>3346.8685989379901</v>
      </c>
      <c r="BM97" s="8">
        <v>0</v>
      </c>
      <c r="BN97" s="8">
        <v>6996.2219757456332</v>
      </c>
      <c r="BO97" s="8">
        <v>0</v>
      </c>
      <c r="BQ97" s="8">
        <f>SUM(BG92:BG100)+SUM(BK92:BK100)</f>
        <v>44543.747367122218</v>
      </c>
      <c r="BR97" s="8">
        <f>SUM(BH96:BH100)+SUM(BI96:BI100)+SUM(BJ96:BJ100)+SUM(BL96:BL100)+SUM(BM96:BM100)+SUM(BN96:BN100)+SUM(BO96:BO100)</f>
        <v>53390.391834223643</v>
      </c>
    </row>
    <row r="98" spans="18:71" x14ac:dyDescent="0.25">
      <c r="R98" s="56">
        <v>38718</v>
      </c>
      <c r="S98" s="8">
        <v>2425.0621347427373</v>
      </c>
      <c r="T98" s="8">
        <v>1331.4023275375371</v>
      </c>
      <c r="U98" s="8">
        <v>0</v>
      </c>
      <c r="V98" s="8">
        <v>403.97964096069347</v>
      </c>
      <c r="W98" s="8">
        <v>9263.0272087454778</v>
      </c>
      <c r="X98" s="8">
        <v>0</v>
      </c>
      <c r="Y98" s="8">
        <v>14530.457212448124</v>
      </c>
      <c r="Z98" s="8">
        <v>8111.0040707588214</v>
      </c>
      <c r="AA98" s="8">
        <v>0</v>
      </c>
      <c r="BF98" s="56">
        <v>38718</v>
      </c>
      <c r="BG98" s="8">
        <v>2425.0621347427373</v>
      </c>
      <c r="BH98" s="8">
        <v>1331.4023275375371</v>
      </c>
      <c r="BI98" s="8">
        <v>0</v>
      </c>
      <c r="BJ98" s="8">
        <v>403.97964096069347</v>
      </c>
      <c r="BK98" s="8">
        <v>14497.772190093994</v>
      </c>
      <c r="BL98" s="8">
        <v>8834.0632801055908</v>
      </c>
      <c r="BM98" s="8">
        <v>0</v>
      </c>
      <c r="BN98" s="8">
        <v>10282.948766469955</v>
      </c>
      <c r="BO98" s="8">
        <v>0</v>
      </c>
    </row>
    <row r="99" spans="18:71" x14ac:dyDescent="0.25">
      <c r="R99" s="56">
        <v>38749</v>
      </c>
      <c r="S99" s="8">
        <v>1474.6935653174301</v>
      </c>
      <c r="T99" s="8">
        <v>0</v>
      </c>
      <c r="U99" s="8">
        <v>0</v>
      </c>
      <c r="V99" s="8">
        <v>534.56242752075195</v>
      </c>
      <c r="W99" s="8">
        <v>5004.9922817349443</v>
      </c>
      <c r="X99" s="8">
        <v>0</v>
      </c>
      <c r="Y99" s="8">
        <v>9716.3274021148736</v>
      </c>
      <c r="Z99" s="8">
        <v>4669.3314743042001</v>
      </c>
      <c r="AA99" s="8">
        <v>0</v>
      </c>
      <c r="BF99" s="56">
        <v>38749</v>
      </c>
      <c r="BG99" s="8">
        <v>1474.6935653174301</v>
      </c>
      <c r="BH99" s="8">
        <v>0</v>
      </c>
      <c r="BI99" s="8">
        <v>0</v>
      </c>
      <c r="BJ99" s="8">
        <v>534.56242752075195</v>
      </c>
      <c r="BK99" s="8">
        <v>9419.504766464237</v>
      </c>
      <c r="BL99" s="8">
        <v>5137.5976676940909</v>
      </c>
      <c r="BM99" s="8">
        <v>0</v>
      </c>
      <c r="BN99" s="8">
        <v>5737.2068135142308</v>
      </c>
      <c r="BO99" s="8">
        <v>0</v>
      </c>
    </row>
    <row r="100" spans="18:71" x14ac:dyDescent="0.25">
      <c r="R100" s="56">
        <v>38777</v>
      </c>
      <c r="S100" s="8">
        <v>1477.1024155616763</v>
      </c>
      <c r="T100" s="8">
        <v>0</v>
      </c>
      <c r="U100" s="8">
        <v>0</v>
      </c>
      <c r="V100" s="8">
        <v>464.41389846801758</v>
      </c>
      <c r="W100" s="8">
        <v>1470.2732297778127</v>
      </c>
      <c r="X100" s="8">
        <v>0</v>
      </c>
      <c r="Y100" s="8">
        <v>503.48257470130909</v>
      </c>
      <c r="Z100" s="8">
        <v>0</v>
      </c>
      <c r="AA100" s="8">
        <v>0</v>
      </c>
      <c r="BF100" s="56">
        <v>38777</v>
      </c>
      <c r="BG100" s="8">
        <v>1477.1024155616763</v>
      </c>
      <c r="BH100" s="8">
        <v>0</v>
      </c>
      <c r="BI100" s="8">
        <v>0</v>
      </c>
      <c r="BJ100" s="8">
        <v>464.41389846801758</v>
      </c>
      <c r="BK100" s="8">
        <v>109.45719909667979</v>
      </c>
      <c r="BL100" s="8">
        <v>0</v>
      </c>
      <c r="BM100" s="8">
        <v>0</v>
      </c>
      <c r="BN100" s="8">
        <v>1781.6417162418365</v>
      </c>
      <c r="BO100" s="8">
        <v>0</v>
      </c>
    </row>
    <row r="101" spans="18:71" x14ac:dyDescent="0.25">
      <c r="R101" s="56">
        <v>38808</v>
      </c>
      <c r="S101" s="8">
        <v>251.87658947519941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20.742215991020203</v>
      </c>
      <c r="Z101" s="8">
        <v>0</v>
      </c>
      <c r="AA101" s="8">
        <v>0</v>
      </c>
      <c r="BF101" s="56">
        <v>38808</v>
      </c>
      <c r="BG101" s="8">
        <v>251.87658947519941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</row>
    <row r="102" spans="18:71" x14ac:dyDescent="0.25">
      <c r="R102" s="56">
        <v>38838</v>
      </c>
      <c r="S102" s="8">
        <v>242.24050784111023</v>
      </c>
      <c r="T102" s="8">
        <v>0</v>
      </c>
      <c r="U102" s="8">
        <v>0</v>
      </c>
      <c r="V102" s="8">
        <v>0</v>
      </c>
      <c r="W102" s="8">
        <v>3.1690948512405162</v>
      </c>
      <c r="X102" s="8">
        <v>0</v>
      </c>
      <c r="Y102" s="8">
        <v>0</v>
      </c>
      <c r="Z102" s="8">
        <v>0</v>
      </c>
      <c r="AA102" s="8">
        <v>0</v>
      </c>
      <c r="BF102" s="56">
        <v>38838</v>
      </c>
      <c r="BG102" s="8">
        <v>242.24050784111023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4.4534783829003581</v>
      </c>
      <c r="BO102" s="8">
        <v>0</v>
      </c>
    </row>
    <row r="103" spans="18:71" x14ac:dyDescent="0.25">
      <c r="R103" s="56">
        <v>38869</v>
      </c>
      <c r="S103" s="8">
        <v>156.61259651184074</v>
      </c>
      <c r="T103" s="8">
        <v>0</v>
      </c>
      <c r="U103" s="8">
        <v>0</v>
      </c>
      <c r="V103" s="8">
        <v>0</v>
      </c>
      <c r="W103" s="8">
        <v>5.1735472828149858</v>
      </c>
      <c r="X103" s="8">
        <v>0</v>
      </c>
      <c r="Y103" s="8">
        <v>0</v>
      </c>
      <c r="Z103" s="8">
        <v>0</v>
      </c>
      <c r="AA103" s="8">
        <v>0</v>
      </c>
      <c r="BF103" s="56">
        <v>38869</v>
      </c>
      <c r="BG103" s="8">
        <v>156.61259651184074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3.8503429908305415</v>
      </c>
      <c r="BO103" s="8">
        <v>0</v>
      </c>
    </row>
    <row r="104" spans="18:71" x14ac:dyDescent="0.25">
      <c r="R104" s="56">
        <v>38899</v>
      </c>
      <c r="S104" s="8">
        <v>17.27521896362304</v>
      </c>
      <c r="T104" s="8">
        <v>0</v>
      </c>
      <c r="U104" s="8">
        <v>0</v>
      </c>
      <c r="V104" s="8">
        <v>0</v>
      </c>
      <c r="W104" s="8">
        <v>4.9053742438554711</v>
      </c>
      <c r="X104" s="8">
        <v>0</v>
      </c>
      <c r="Y104" s="8">
        <v>0</v>
      </c>
      <c r="Z104" s="8">
        <v>0</v>
      </c>
      <c r="AA104" s="8">
        <v>0</v>
      </c>
      <c r="BF104" s="56">
        <v>38899</v>
      </c>
      <c r="BG104" s="8">
        <v>17.27521896362304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4.9028775244951301</v>
      </c>
      <c r="BO104" s="8">
        <v>0</v>
      </c>
    </row>
    <row r="105" spans="18:71" x14ac:dyDescent="0.25">
      <c r="R105" s="56">
        <v>38930</v>
      </c>
      <c r="S105" s="8">
        <v>0</v>
      </c>
      <c r="T105" s="8">
        <v>0</v>
      </c>
      <c r="U105" s="8">
        <v>0</v>
      </c>
      <c r="V105" s="8">
        <v>0</v>
      </c>
      <c r="W105" s="8">
        <v>6.4585404545068785</v>
      </c>
      <c r="X105" s="8">
        <v>0</v>
      </c>
      <c r="Y105" s="8">
        <v>0</v>
      </c>
      <c r="Z105" s="8">
        <v>0</v>
      </c>
      <c r="AA105" s="8">
        <v>0</v>
      </c>
      <c r="BF105" s="56">
        <v>38930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6.4517687708139455</v>
      </c>
      <c r="BO105" s="8">
        <v>0</v>
      </c>
    </row>
    <row r="106" spans="18:71" x14ac:dyDescent="0.25">
      <c r="R106" s="56">
        <v>38961</v>
      </c>
      <c r="S106" s="8">
        <v>1540.1658970117546</v>
      </c>
      <c r="T106" s="8">
        <v>13.7992658615112</v>
      </c>
      <c r="U106" s="8">
        <v>0</v>
      </c>
      <c r="V106" s="8">
        <v>0</v>
      </c>
      <c r="W106" s="8">
        <v>5.9821907579898799</v>
      </c>
      <c r="X106" s="8">
        <v>0</v>
      </c>
      <c r="Y106" s="8">
        <v>270.39245605468801</v>
      </c>
      <c r="Z106" s="8">
        <v>0</v>
      </c>
      <c r="AA106" s="8">
        <v>0</v>
      </c>
      <c r="BF106" s="56">
        <v>38961</v>
      </c>
      <c r="BG106" s="8">
        <v>1540.1658970117546</v>
      </c>
      <c r="BH106" s="8">
        <v>13.7992658615112</v>
      </c>
      <c r="BI106" s="8">
        <v>0</v>
      </c>
      <c r="BJ106" s="8">
        <v>0</v>
      </c>
      <c r="BK106" s="8">
        <v>242.31425476074199</v>
      </c>
      <c r="BL106" s="8">
        <v>0</v>
      </c>
      <c r="BM106" s="8">
        <v>0</v>
      </c>
      <c r="BN106" s="8">
        <v>245.56183052062977</v>
      </c>
      <c r="BO106" s="8">
        <v>0</v>
      </c>
    </row>
    <row r="107" spans="18:71" x14ac:dyDescent="0.25">
      <c r="R107" s="56">
        <v>38991</v>
      </c>
      <c r="S107" s="8">
        <v>423.06023776531237</v>
      </c>
      <c r="T107" s="8">
        <v>0</v>
      </c>
      <c r="U107" s="8">
        <v>0</v>
      </c>
      <c r="V107" s="8">
        <v>0</v>
      </c>
      <c r="W107" s="8">
        <v>200.23642730712891</v>
      </c>
      <c r="X107" s="8">
        <v>0</v>
      </c>
      <c r="Y107" s="8">
        <v>2949.8656005859375</v>
      </c>
      <c r="Z107" s="8">
        <v>0</v>
      </c>
      <c r="AA107" s="8">
        <v>0</v>
      </c>
      <c r="BF107" s="56">
        <v>38991</v>
      </c>
      <c r="BG107" s="8">
        <v>423.06023776531237</v>
      </c>
      <c r="BH107" s="8">
        <v>0</v>
      </c>
      <c r="BI107" s="8">
        <v>0</v>
      </c>
      <c r="BJ107" s="8">
        <v>0</v>
      </c>
      <c r="BK107" s="8">
        <v>2666.0754661560072</v>
      </c>
      <c r="BL107" s="8">
        <v>0</v>
      </c>
      <c r="BM107" s="8">
        <v>0</v>
      </c>
      <c r="BN107" s="8">
        <v>555.26312154531479</v>
      </c>
      <c r="BO107" s="8">
        <v>0</v>
      </c>
    </row>
    <row r="108" spans="18:71" x14ac:dyDescent="0.25">
      <c r="R108" s="56">
        <v>39022</v>
      </c>
      <c r="S108" s="8">
        <v>1423.9428024291994</v>
      </c>
      <c r="T108" s="8">
        <v>0</v>
      </c>
      <c r="U108" s="8">
        <v>0</v>
      </c>
      <c r="V108" s="8">
        <v>1709.2397254407394</v>
      </c>
      <c r="W108" s="8">
        <v>3422.4561739265937</v>
      </c>
      <c r="X108" s="8">
        <v>0</v>
      </c>
      <c r="Y108" s="8">
        <v>1986.7936415672305</v>
      </c>
      <c r="Z108" s="8">
        <v>1848.2073523998263</v>
      </c>
      <c r="AA108" s="8">
        <v>0</v>
      </c>
      <c r="AB108" s="56">
        <f>R108</f>
        <v>39022</v>
      </c>
      <c r="AC108" s="8">
        <f>SUM(S104:S108)+SUM(Y104:Y108)</f>
        <v>8611.4958543777466</v>
      </c>
      <c r="AD108" s="8">
        <f>SUM(T96:T107)+SUM(U96:U107)+SUM(V96:V107)+SUM(W96:W107)+SUM(X96:X107)+SUM(Z96:Z107)+SUM(AA96:AA107)</f>
        <v>48428.690661160275</v>
      </c>
      <c r="AE108" s="8"/>
      <c r="BF108" s="56">
        <v>39022</v>
      </c>
      <c r="BG108" s="8">
        <v>1423.9428024291994</v>
      </c>
      <c r="BH108" s="8">
        <v>0</v>
      </c>
      <c r="BI108" s="8">
        <v>0</v>
      </c>
      <c r="BJ108" s="8">
        <v>1709.2397254407394</v>
      </c>
      <c r="BK108" s="8">
        <v>2029.4325058629038</v>
      </c>
      <c r="BL108" s="8">
        <v>2259.8147687911992</v>
      </c>
      <c r="BM108" s="8">
        <v>0</v>
      </c>
      <c r="BN108" s="8">
        <v>3615.7753112316145</v>
      </c>
      <c r="BO108" s="8">
        <v>0</v>
      </c>
      <c r="BP108" s="56">
        <f>BF108</f>
        <v>39022</v>
      </c>
      <c r="BQ108" s="8">
        <f>SUM(BG104:BG108)+SUM(BK104:BK108)</f>
        <v>8342.2663829495432</v>
      </c>
      <c r="BR108" s="8">
        <f>SUM(BH96:BH107)+SUM(BI96:BI107)+SUM(BJ96:BJ107)+SUM(BL96:BL107)+SUM(BM96:BM107)+SUM(BN96:BN107)</f>
        <v>54224.674519820139</v>
      </c>
      <c r="BS108" s="8">
        <f>SUM(BO96:BO107)</f>
        <v>0</v>
      </c>
    </row>
    <row r="109" spans="18:71" x14ac:dyDescent="0.25">
      <c r="R109" s="56">
        <v>39052</v>
      </c>
      <c r="S109" s="8">
        <v>1166.8168544769285</v>
      </c>
      <c r="T109" s="8">
        <v>0</v>
      </c>
      <c r="U109" s="8">
        <v>0</v>
      </c>
      <c r="V109" s="8">
        <v>0</v>
      </c>
      <c r="W109" s="8">
        <v>74.81195640563962</v>
      </c>
      <c r="X109" s="8">
        <v>0</v>
      </c>
      <c r="Y109" s="8">
        <v>4159.7622356414804</v>
      </c>
      <c r="Z109" s="8">
        <v>0</v>
      </c>
      <c r="AA109" s="8">
        <v>0</v>
      </c>
      <c r="BF109" s="56">
        <v>39052</v>
      </c>
      <c r="BG109" s="8">
        <v>1166.8168544769285</v>
      </c>
      <c r="BH109" s="8">
        <v>0</v>
      </c>
      <c r="BI109" s="8">
        <v>0</v>
      </c>
      <c r="BJ109" s="8">
        <v>0</v>
      </c>
      <c r="BK109" s="8">
        <v>4404.772989988327</v>
      </c>
      <c r="BL109" s="8">
        <v>0</v>
      </c>
      <c r="BM109" s="8">
        <v>0</v>
      </c>
      <c r="BN109" s="8">
        <v>87.710425496101408</v>
      </c>
      <c r="BO109" s="8">
        <v>0</v>
      </c>
      <c r="BQ109" s="8">
        <f>SUM(BG104:BG112)+SUM(BK104:BK112)</f>
        <v>20662.752609746647</v>
      </c>
      <c r="BR109" s="8">
        <f>SUM(BH108:BH112)+SUM(BI108:BI112)+SUM(BJ108:BJ112)+SUM(BL108:BL112)+SUM(BM108:BM112)+SUM(BN108:BN112)+SUM(BO108:BO112)</f>
        <v>11494.240539893508</v>
      </c>
    </row>
    <row r="110" spans="18:71" x14ac:dyDescent="0.25">
      <c r="R110" s="56">
        <v>39083</v>
      </c>
      <c r="S110" s="8">
        <v>1249.7356052398686</v>
      </c>
      <c r="T110" s="8">
        <v>0</v>
      </c>
      <c r="U110" s="8">
        <v>0</v>
      </c>
      <c r="V110" s="8">
        <v>0</v>
      </c>
      <c r="W110" s="8">
        <v>267.86139315366751</v>
      </c>
      <c r="X110" s="8">
        <v>0</v>
      </c>
      <c r="Y110" s="8">
        <v>4308.4991312026968</v>
      </c>
      <c r="Z110" s="8">
        <v>0</v>
      </c>
      <c r="AA110" s="8">
        <v>0</v>
      </c>
      <c r="BF110" s="56">
        <v>39083</v>
      </c>
      <c r="BG110" s="8">
        <v>1249.7356052398686</v>
      </c>
      <c r="BH110" s="8">
        <v>0</v>
      </c>
      <c r="BI110" s="8">
        <v>0</v>
      </c>
      <c r="BJ110" s="8">
        <v>0</v>
      </c>
      <c r="BK110" s="8">
        <v>2206.841588973999</v>
      </c>
      <c r="BL110" s="8">
        <v>0</v>
      </c>
      <c r="BM110" s="8">
        <v>0</v>
      </c>
      <c r="BN110" s="8">
        <v>491.20793187618199</v>
      </c>
      <c r="BO110" s="8">
        <v>0</v>
      </c>
    </row>
    <row r="111" spans="18:71" x14ac:dyDescent="0.25">
      <c r="R111" s="56">
        <v>39114</v>
      </c>
      <c r="S111" s="8">
        <v>0</v>
      </c>
      <c r="T111" s="8">
        <v>0</v>
      </c>
      <c r="U111" s="8">
        <v>0</v>
      </c>
      <c r="V111" s="8">
        <v>0</v>
      </c>
      <c r="W111" s="8">
        <v>69.532941222190885</v>
      </c>
      <c r="X111" s="8">
        <v>0</v>
      </c>
      <c r="Y111" s="8">
        <v>1652.8348159790041</v>
      </c>
      <c r="Z111" s="8">
        <v>0</v>
      </c>
      <c r="AA111" s="8">
        <v>0</v>
      </c>
      <c r="BF111" s="56">
        <v>39114</v>
      </c>
      <c r="BG111" s="8">
        <v>0</v>
      </c>
      <c r="BH111" s="8">
        <v>0</v>
      </c>
      <c r="BI111" s="8">
        <v>0</v>
      </c>
      <c r="BJ111" s="8">
        <v>0</v>
      </c>
      <c r="BK111" s="8">
        <v>1336.614143371582</v>
      </c>
      <c r="BL111" s="8">
        <v>0</v>
      </c>
      <c r="BM111" s="8">
        <v>0</v>
      </c>
      <c r="BN111" s="8">
        <v>83.611343383789048</v>
      </c>
      <c r="BO111" s="8">
        <v>0</v>
      </c>
    </row>
    <row r="112" spans="18:71" x14ac:dyDescent="0.25">
      <c r="R112" s="56">
        <v>39142</v>
      </c>
      <c r="S112" s="8">
        <v>612.40418338775635</v>
      </c>
      <c r="T112" s="8">
        <v>841.35186004638683</v>
      </c>
      <c r="U112" s="8">
        <v>0</v>
      </c>
      <c r="V112" s="8">
        <v>2008.4879494458446</v>
      </c>
      <c r="W112" s="8">
        <v>169.4753136932851</v>
      </c>
      <c r="X112" s="8">
        <v>0</v>
      </c>
      <c r="Y112" s="8">
        <v>448.82081103324896</v>
      </c>
      <c r="Z112" s="8">
        <v>0</v>
      </c>
      <c r="AA112" s="8">
        <v>0</v>
      </c>
      <c r="BF112" s="56">
        <v>39142</v>
      </c>
      <c r="BG112" s="8">
        <v>612.40418338775635</v>
      </c>
      <c r="BH112" s="8">
        <v>841.35186004638683</v>
      </c>
      <c r="BI112" s="8">
        <v>0</v>
      </c>
      <c r="BJ112" s="8">
        <v>2008.4879494458446</v>
      </c>
      <c r="BK112" s="8">
        <v>1343.3008613586426</v>
      </c>
      <c r="BL112" s="8">
        <v>0</v>
      </c>
      <c r="BM112" s="8">
        <v>0</v>
      </c>
      <c r="BN112" s="8">
        <v>397.04122418165207</v>
      </c>
      <c r="BO112" s="8">
        <v>0</v>
      </c>
    </row>
    <row r="113" spans="18:71" x14ac:dyDescent="0.25">
      <c r="R113" s="56">
        <v>39173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5.8666941821575218</v>
      </c>
      <c r="Z113" s="8">
        <v>0</v>
      </c>
      <c r="AA113" s="8">
        <v>0</v>
      </c>
      <c r="BF113" s="56">
        <v>39173</v>
      </c>
      <c r="BG113" s="8">
        <v>0</v>
      </c>
      <c r="BH113" s="8">
        <v>0</v>
      </c>
      <c r="BI113" s="8">
        <v>0</v>
      </c>
      <c r="BJ113" s="8">
        <v>0</v>
      </c>
      <c r="BK113" s="8">
        <v>14.357265740633009</v>
      </c>
      <c r="BL113" s="8">
        <v>0</v>
      </c>
      <c r="BM113" s="8">
        <v>0</v>
      </c>
      <c r="BN113" s="8">
        <v>5.5957568660378456</v>
      </c>
      <c r="BO113" s="8">
        <v>0</v>
      </c>
    </row>
    <row r="114" spans="18:71" x14ac:dyDescent="0.25">
      <c r="R114" s="56">
        <v>39203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BF114" s="56">
        <v>39203</v>
      </c>
      <c r="BG114" s="8">
        <v>0</v>
      </c>
      <c r="BH114" s="8">
        <v>0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4.1210951660759729</v>
      </c>
      <c r="BO114" s="8">
        <v>0</v>
      </c>
    </row>
    <row r="115" spans="18:71" x14ac:dyDescent="0.25">
      <c r="R115" s="56">
        <v>39234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BF115" s="56">
        <v>39234</v>
      </c>
      <c r="BG115" s="8">
        <v>0</v>
      </c>
      <c r="BH115" s="8">
        <v>0</v>
      </c>
      <c r="BI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6.8474702537059775</v>
      </c>
      <c r="BO115" s="8">
        <v>0</v>
      </c>
    </row>
    <row r="116" spans="18:71" x14ac:dyDescent="0.25">
      <c r="R116" s="56">
        <v>39264</v>
      </c>
      <c r="S116" s="8">
        <v>23.148729801177982</v>
      </c>
      <c r="T116" s="8">
        <v>0</v>
      </c>
      <c r="U116" s="8">
        <v>0</v>
      </c>
      <c r="V116" s="8">
        <v>3561.9696257486926</v>
      </c>
      <c r="W116" s="8">
        <v>3733.6905393898487</v>
      </c>
      <c r="X116" s="8">
        <v>0</v>
      </c>
      <c r="Y116" s="8">
        <v>0</v>
      </c>
      <c r="Z116" s="8">
        <v>3473.2632484436053</v>
      </c>
      <c r="AA116" s="8">
        <v>0</v>
      </c>
      <c r="BF116" s="56">
        <v>39264</v>
      </c>
      <c r="BG116" s="8">
        <v>23.148729801177982</v>
      </c>
      <c r="BH116" s="8">
        <v>0</v>
      </c>
      <c r="BI116" s="8">
        <v>0</v>
      </c>
      <c r="BJ116" s="8">
        <v>3561.9696257486926</v>
      </c>
      <c r="BK116" s="8">
        <v>0</v>
      </c>
      <c r="BL116" s="8">
        <v>3495.0401792526259</v>
      </c>
      <c r="BM116" s="8">
        <v>0</v>
      </c>
      <c r="BN116" s="8">
        <v>3801.1053130477662</v>
      </c>
      <c r="BO116" s="8">
        <v>0</v>
      </c>
    </row>
    <row r="117" spans="18:71" x14ac:dyDescent="0.25">
      <c r="R117" s="56">
        <v>39295</v>
      </c>
      <c r="S117" s="8">
        <v>32.954635620117159</v>
      </c>
      <c r="T117" s="8">
        <v>796.43437480926582</v>
      </c>
      <c r="U117" s="8">
        <v>0</v>
      </c>
      <c r="V117" s="8">
        <v>0.40999999642372098</v>
      </c>
      <c r="W117" s="8">
        <v>4154.2196637392062</v>
      </c>
      <c r="X117" s="8">
        <v>0</v>
      </c>
      <c r="Y117" s="8">
        <v>0</v>
      </c>
      <c r="Z117" s="8">
        <v>4342.0602855682382</v>
      </c>
      <c r="AA117" s="8">
        <v>0</v>
      </c>
      <c r="BF117" s="56">
        <v>39295</v>
      </c>
      <c r="BG117" s="8">
        <v>32.954635620117159</v>
      </c>
      <c r="BH117" s="8">
        <v>796.43437480926582</v>
      </c>
      <c r="BI117" s="8">
        <v>0</v>
      </c>
      <c r="BJ117" s="8">
        <v>0.40999999642372098</v>
      </c>
      <c r="BK117" s="8">
        <v>0</v>
      </c>
      <c r="BL117" s="8">
        <v>4501.9956932067889</v>
      </c>
      <c r="BM117" s="8">
        <v>0</v>
      </c>
      <c r="BN117" s="8">
        <v>4246.2977412976325</v>
      </c>
      <c r="BO117" s="8">
        <v>0</v>
      </c>
    </row>
    <row r="118" spans="18:71" x14ac:dyDescent="0.25">
      <c r="R118" s="56">
        <v>39326</v>
      </c>
      <c r="S118" s="8">
        <v>1079.7227095365527</v>
      </c>
      <c r="T118" s="8">
        <v>0</v>
      </c>
      <c r="U118" s="8">
        <v>0</v>
      </c>
      <c r="V118" s="8">
        <v>2674.6829983890052</v>
      </c>
      <c r="W118" s="8">
        <v>1855.6354830265059</v>
      </c>
      <c r="X118" s="8">
        <v>0</v>
      </c>
      <c r="Y118" s="8">
        <v>0</v>
      </c>
      <c r="Z118" s="8">
        <v>1178.695022583008</v>
      </c>
      <c r="AA118" s="8">
        <v>0</v>
      </c>
      <c r="BF118" s="56">
        <v>39326</v>
      </c>
      <c r="BG118" s="8">
        <v>1079.7227095365527</v>
      </c>
      <c r="BH118" s="8">
        <v>0</v>
      </c>
      <c r="BI118" s="8">
        <v>0</v>
      </c>
      <c r="BJ118" s="8">
        <v>2674.6829983890052</v>
      </c>
      <c r="BK118" s="8">
        <v>671.510422706604</v>
      </c>
      <c r="BL118" s="8">
        <v>1425.503440856934</v>
      </c>
      <c r="BM118" s="8">
        <v>0</v>
      </c>
      <c r="BN118" s="8">
        <v>2405.140728160738</v>
      </c>
      <c r="BO118" s="8">
        <v>0</v>
      </c>
    </row>
    <row r="119" spans="18:71" x14ac:dyDescent="0.25">
      <c r="R119" s="56">
        <v>39356</v>
      </c>
      <c r="S119" s="8">
        <v>323.48435521125799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1087.2933578491206</v>
      </c>
      <c r="Z119" s="8">
        <v>0</v>
      </c>
      <c r="AA119" s="8">
        <v>0</v>
      </c>
      <c r="BF119" s="56">
        <v>39356</v>
      </c>
      <c r="BG119" s="8">
        <v>323.48435521125799</v>
      </c>
      <c r="BH119" s="8">
        <v>0</v>
      </c>
      <c r="BI119" s="8">
        <v>0</v>
      </c>
      <c r="BJ119" s="8">
        <v>0</v>
      </c>
      <c r="BK119" s="8">
        <v>921.21800971031189</v>
      </c>
      <c r="BL119" s="8">
        <v>0</v>
      </c>
      <c r="BM119" s="8">
        <v>0</v>
      </c>
      <c r="BN119" s="8">
        <v>109.49908399581906</v>
      </c>
      <c r="BO119" s="8">
        <v>0</v>
      </c>
    </row>
    <row r="120" spans="18:71" x14ac:dyDescent="0.25">
      <c r="R120" s="56">
        <v>39387</v>
      </c>
      <c r="S120" s="8">
        <v>334.56744265556335</v>
      </c>
      <c r="T120" s="8">
        <v>12.720314025878899</v>
      </c>
      <c r="U120" s="8">
        <v>0</v>
      </c>
      <c r="V120" s="8">
        <v>1367.024059325458</v>
      </c>
      <c r="W120" s="8">
        <v>398.46802774071699</v>
      </c>
      <c r="X120" s="8">
        <v>0</v>
      </c>
      <c r="Y120" s="8">
        <v>2281.2146568298344</v>
      </c>
      <c r="Z120" s="8">
        <v>0</v>
      </c>
      <c r="AA120" s="8">
        <v>0</v>
      </c>
      <c r="AB120" s="56">
        <f>R120</f>
        <v>39387</v>
      </c>
      <c r="AC120" s="8">
        <f>SUM(S116:S120)+SUM(Y116:Y120)</f>
        <v>5162.385887503624</v>
      </c>
      <c r="AD120" s="8">
        <f>SUM(T108:T119)+SUM(U108:U119)+SUM(V108:V119)+SUM(W108:W119)+SUM(X108:X119)+SUM(Z108:Z119)+SUM(AA108:AA119)</f>
        <v>36182.485907427981</v>
      </c>
      <c r="AE120" s="8"/>
      <c r="BF120" s="56">
        <v>39387</v>
      </c>
      <c r="BG120" s="8">
        <v>334.56744265556335</v>
      </c>
      <c r="BH120" s="8">
        <v>12.720314025878899</v>
      </c>
      <c r="BI120" s="8">
        <v>0</v>
      </c>
      <c r="BJ120" s="8">
        <v>1367.024059325458</v>
      </c>
      <c r="BK120" s="8">
        <v>1328.4708394408226</v>
      </c>
      <c r="BL120" s="8">
        <v>0</v>
      </c>
      <c r="BM120" s="8">
        <v>0</v>
      </c>
      <c r="BN120" s="8">
        <v>1539.7630092650647</v>
      </c>
      <c r="BO120" s="8">
        <v>0</v>
      </c>
      <c r="BP120" s="56">
        <f>BF120</f>
        <v>39387</v>
      </c>
      <c r="BQ120" s="8">
        <f>SUM(BG116:BG120)+SUM(BK116:BK120)</f>
        <v>4715.0771446824074</v>
      </c>
      <c r="BR120" s="8">
        <f>SUM(BH108:BH119)+SUM(BI108:BI119)+SUM(BJ108:BJ119)+SUM(BL108:BL119)+SUM(BM108:BM119)+SUM(BN108:BN119)</f>
        <v>38528.884040941019</v>
      </c>
      <c r="BS120" s="8">
        <f>SUM(BO108:BO119)</f>
        <v>0</v>
      </c>
    </row>
    <row r="121" spans="18:71" x14ac:dyDescent="0.25">
      <c r="R121" s="56">
        <v>39417</v>
      </c>
      <c r="S121" s="8">
        <v>541.88112771511032</v>
      </c>
      <c r="T121" s="8">
        <v>0</v>
      </c>
      <c r="U121" s="8">
        <v>0</v>
      </c>
      <c r="V121" s="8">
        <v>687.8946707546711</v>
      </c>
      <c r="W121" s="8">
        <v>4819.9095323756346</v>
      </c>
      <c r="X121" s="8">
        <v>0</v>
      </c>
      <c r="Y121" s="8">
        <v>4803.4033222198495</v>
      </c>
      <c r="Z121" s="8">
        <v>2872.5535173416142</v>
      </c>
      <c r="AA121" s="8">
        <v>0</v>
      </c>
      <c r="BF121" s="56">
        <v>39417</v>
      </c>
      <c r="BG121" s="8">
        <v>541.88112771511032</v>
      </c>
      <c r="BH121" s="8">
        <v>0</v>
      </c>
      <c r="BI121" s="8">
        <v>0</v>
      </c>
      <c r="BJ121" s="8">
        <v>687.8946707546711</v>
      </c>
      <c r="BK121" s="8">
        <v>3361.655899047852</v>
      </c>
      <c r="BL121" s="8">
        <v>3127.08716583252</v>
      </c>
      <c r="BM121" s="8">
        <v>0</v>
      </c>
      <c r="BN121" s="8">
        <v>5954.3299167603273</v>
      </c>
      <c r="BO121" s="8">
        <v>0</v>
      </c>
      <c r="BQ121" s="8">
        <f>SUM(BG116:BG124)+SUM(BK116:BK124)</f>
        <v>13472.317666649818</v>
      </c>
      <c r="BR121" s="8">
        <f>SUM(BH120:BH124)+SUM(BI120:BI124)+SUM(BJ120:BJ124)+SUM(BL120:BL124)+SUM(BM120:BM124)+SUM(BN120:BN124)+SUM(BO120:BO124)</f>
        <v>84014.097925968468</v>
      </c>
    </row>
    <row r="122" spans="18:71" x14ac:dyDescent="0.25">
      <c r="R122" s="56">
        <v>39448</v>
      </c>
      <c r="S122" s="8">
        <v>867.80482804775227</v>
      </c>
      <c r="T122" s="8">
        <v>69.503463745117202</v>
      </c>
      <c r="U122" s="8">
        <v>0</v>
      </c>
      <c r="V122" s="8">
        <v>184.8375358581543</v>
      </c>
      <c r="W122" s="8">
        <v>12387.493120565079</v>
      </c>
      <c r="X122" s="8">
        <v>0</v>
      </c>
      <c r="Y122" s="8">
        <v>4560.7751903533945</v>
      </c>
      <c r="Z122" s="8">
        <v>9809.490505218515</v>
      </c>
      <c r="AA122" s="8">
        <v>0</v>
      </c>
      <c r="BF122" s="56">
        <v>39448</v>
      </c>
      <c r="BG122" s="8">
        <v>867.80482804775227</v>
      </c>
      <c r="BH122" s="8">
        <v>69.503463745117202</v>
      </c>
      <c r="BI122" s="8">
        <v>0</v>
      </c>
      <c r="BJ122" s="8">
        <v>184.8375358581543</v>
      </c>
      <c r="BK122" s="8">
        <v>3034.2448244094849</v>
      </c>
      <c r="BL122" s="8">
        <v>10341.671888351442</v>
      </c>
      <c r="BM122" s="8">
        <v>0</v>
      </c>
      <c r="BN122" s="8">
        <v>13120.451209545135</v>
      </c>
      <c r="BO122" s="8">
        <v>0</v>
      </c>
    </row>
    <row r="123" spans="18:71" x14ac:dyDescent="0.25">
      <c r="R123" s="56">
        <v>39479</v>
      </c>
      <c r="S123" s="8">
        <v>206.10873585939396</v>
      </c>
      <c r="T123" s="8">
        <v>6400.2330417633038</v>
      </c>
      <c r="U123" s="8">
        <v>0</v>
      </c>
      <c r="V123" s="8">
        <v>2</v>
      </c>
      <c r="W123" s="8">
        <v>20738.590622551739</v>
      </c>
      <c r="X123" s="8">
        <v>89.181762695312557</v>
      </c>
      <c r="Y123" s="8">
        <v>0</v>
      </c>
      <c r="Z123" s="8">
        <v>18536.879439353943</v>
      </c>
      <c r="AA123" s="8">
        <v>0</v>
      </c>
      <c r="BF123" s="56">
        <v>39479</v>
      </c>
      <c r="BG123" s="8">
        <v>206.10873585939396</v>
      </c>
      <c r="BH123" s="8">
        <v>6400.2330417633038</v>
      </c>
      <c r="BI123" s="8">
        <v>0</v>
      </c>
      <c r="BJ123" s="8">
        <v>2</v>
      </c>
      <c r="BK123" s="8">
        <v>0</v>
      </c>
      <c r="BL123" s="8">
        <v>19296.737622141842</v>
      </c>
      <c r="BM123" s="8">
        <v>0</v>
      </c>
      <c r="BN123" s="8">
        <v>21530.462027817965</v>
      </c>
      <c r="BO123" s="8">
        <v>89.983917236328097</v>
      </c>
    </row>
    <row r="124" spans="18:71" x14ac:dyDescent="0.25">
      <c r="R124" s="56">
        <v>39508</v>
      </c>
      <c r="S124" s="8">
        <v>745.54510688781704</v>
      </c>
      <c r="T124" s="8">
        <v>0</v>
      </c>
      <c r="U124" s="8">
        <v>0</v>
      </c>
      <c r="V124" s="8">
        <v>53.70527267456054</v>
      </c>
      <c r="W124" s="8">
        <v>160.76296643167734</v>
      </c>
      <c r="X124" s="8">
        <v>0</v>
      </c>
      <c r="Y124" s="8">
        <v>0</v>
      </c>
      <c r="Z124" s="8">
        <v>0</v>
      </c>
      <c r="AA124" s="8">
        <v>0</v>
      </c>
      <c r="BF124" s="56">
        <v>39508</v>
      </c>
      <c r="BG124" s="8">
        <v>745.54510688781704</v>
      </c>
      <c r="BH124" s="8">
        <v>0</v>
      </c>
      <c r="BI124" s="8">
        <v>0</v>
      </c>
      <c r="BJ124" s="8">
        <v>53.70527267456054</v>
      </c>
      <c r="BK124" s="8">
        <v>0</v>
      </c>
      <c r="BL124" s="8">
        <v>0</v>
      </c>
      <c r="BM124" s="8">
        <v>0</v>
      </c>
      <c r="BN124" s="8">
        <v>235.69281087070695</v>
      </c>
      <c r="BO124" s="8">
        <v>0</v>
      </c>
    </row>
    <row r="125" spans="18:71" x14ac:dyDescent="0.25">
      <c r="R125" s="56">
        <v>39539</v>
      </c>
      <c r="S125" s="8">
        <v>551.78596305847213</v>
      </c>
      <c r="T125" s="8">
        <v>0</v>
      </c>
      <c r="U125" s="8">
        <v>0</v>
      </c>
      <c r="V125" s="8">
        <v>0</v>
      </c>
      <c r="W125" s="8">
        <v>1.1463373601436619</v>
      </c>
      <c r="X125" s="8">
        <v>0</v>
      </c>
      <c r="Y125" s="8">
        <v>0</v>
      </c>
      <c r="Z125" s="8">
        <v>0</v>
      </c>
      <c r="AA125" s="8">
        <v>0</v>
      </c>
      <c r="BF125" s="56">
        <v>39539</v>
      </c>
      <c r="BG125" s="8">
        <v>551.78596305847213</v>
      </c>
      <c r="BH125" s="8">
        <v>0</v>
      </c>
      <c r="BI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</row>
    <row r="126" spans="18:71" x14ac:dyDescent="0.25">
      <c r="R126" s="56">
        <v>39569</v>
      </c>
      <c r="S126" s="8">
        <v>573.96861648559559</v>
      </c>
      <c r="T126" s="8">
        <v>0</v>
      </c>
      <c r="U126" s="8">
        <v>0</v>
      </c>
      <c r="V126" s="8">
        <v>0</v>
      </c>
      <c r="W126" s="8">
        <v>6.1771356612443906</v>
      </c>
      <c r="X126" s="8">
        <v>0</v>
      </c>
      <c r="Y126" s="8">
        <v>0</v>
      </c>
      <c r="Z126" s="8">
        <v>0</v>
      </c>
      <c r="AA126" s="8">
        <v>0</v>
      </c>
      <c r="BF126" s="56">
        <v>39569</v>
      </c>
      <c r="BG126" s="8">
        <v>573.96861648559559</v>
      </c>
      <c r="BH126" s="8">
        <v>0</v>
      </c>
      <c r="BI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7.6310575008392352</v>
      </c>
      <c r="BO126" s="8">
        <v>0</v>
      </c>
    </row>
    <row r="127" spans="18:71" x14ac:dyDescent="0.25">
      <c r="R127" s="56">
        <v>39600</v>
      </c>
      <c r="S127" s="8">
        <v>259.34764242172264</v>
      </c>
      <c r="T127" s="8">
        <v>0</v>
      </c>
      <c r="U127" s="8">
        <v>0</v>
      </c>
      <c r="V127" s="8">
        <v>0</v>
      </c>
      <c r="W127" s="8">
        <v>3.1548326015472399</v>
      </c>
      <c r="X127" s="8">
        <v>0</v>
      </c>
      <c r="Y127" s="8">
        <v>0</v>
      </c>
      <c r="Z127" s="8">
        <v>0</v>
      </c>
      <c r="AA127" s="8">
        <v>0</v>
      </c>
      <c r="BF127" s="56">
        <v>39600</v>
      </c>
      <c r="BG127" s="8">
        <v>259.34764242172264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4.8713107407093013</v>
      </c>
      <c r="BO127" s="8">
        <v>0</v>
      </c>
    </row>
    <row r="128" spans="18:71" x14ac:dyDescent="0.25">
      <c r="R128" s="56">
        <v>39630</v>
      </c>
      <c r="S128" s="8">
        <v>0</v>
      </c>
      <c r="T128" s="8">
        <v>0</v>
      </c>
      <c r="U128" s="8">
        <v>0</v>
      </c>
      <c r="V128" s="8">
        <v>0</v>
      </c>
      <c r="W128" s="8">
        <v>4.6632227897644078</v>
      </c>
      <c r="X128" s="8">
        <v>0</v>
      </c>
      <c r="Y128" s="8">
        <v>0</v>
      </c>
      <c r="Z128" s="8">
        <v>0</v>
      </c>
      <c r="AA128" s="8">
        <v>0</v>
      </c>
      <c r="BF128" s="56">
        <v>39630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7.120474144816396</v>
      </c>
      <c r="BO128" s="8">
        <v>0</v>
      </c>
    </row>
    <row r="129" spans="18:71" x14ac:dyDescent="0.25">
      <c r="R129" s="56">
        <v>39661</v>
      </c>
      <c r="S129" s="8">
        <v>0</v>
      </c>
      <c r="T129" s="8">
        <v>0</v>
      </c>
      <c r="U129" s="8">
        <v>0</v>
      </c>
      <c r="V129" s="8">
        <v>0</v>
      </c>
      <c r="W129" s="8">
        <v>5.7220465093851134</v>
      </c>
      <c r="X129" s="8">
        <v>0</v>
      </c>
      <c r="Y129" s="8">
        <v>0</v>
      </c>
      <c r="Z129" s="8">
        <v>0</v>
      </c>
      <c r="AA129" s="8">
        <v>0</v>
      </c>
      <c r="BF129" s="56">
        <v>39661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8.9355925917625374</v>
      </c>
      <c r="BO129" s="8">
        <v>0</v>
      </c>
    </row>
    <row r="130" spans="18:71" x14ac:dyDescent="0.25">
      <c r="R130" s="56">
        <v>39692</v>
      </c>
      <c r="S130" s="8">
        <v>0</v>
      </c>
      <c r="T130" s="8">
        <v>450.41740036010731</v>
      </c>
      <c r="U130" s="8">
        <v>0</v>
      </c>
      <c r="V130" s="8">
        <v>0</v>
      </c>
      <c r="W130" s="8">
        <v>641.60967980325222</v>
      </c>
      <c r="X130" s="8">
        <v>0</v>
      </c>
      <c r="Y130" s="8">
        <v>0</v>
      </c>
      <c r="Z130" s="8">
        <v>0</v>
      </c>
      <c r="AA130" s="8">
        <v>0</v>
      </c>
      <c r="BF130" s="56">
        <v>39692</v>
      </c>
      <c r="BG130" s="8">
        <v>0</v>
      </c>
      <c r="BH130" s="8">
        <v>450.41740036010731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632.90791025757778</v>
      </c>
      <c r="BO130" s="8">
        <v>0</v>
      </c>
    </row>
    <row r="131" spans="18:71" x14ac:dyDescent="0.25">
      <c r="R131" s="56">
        <v>39722</v>
      </c>
      <c r="S131" s="8">
        <v>519.40620040893612</v>
      </c>
      <c r="T131" s="8">
        <v>0</v>
      </c>
      <c r="U131" s="8">
        <v>0</v>
      </c>
      <c r="V131" s="8">
        <v>0</v>
      </c>
      <c r="W131" s="8">
        <v>7.3603478670120275</v>
      </c>
      <c r="X131" s="8">
        <v>0</v>
      </c>
      <c r="Y131" s="8">
        <v>0</v>
      </c>
      <c r="Z131" s="8">
        <v>0</v>
      </c>
      <c r="AA131" s="8">
        <v>0</v>
      </c>
      <c r="BF131" s="56">
        <v>39722</v>
      </c>
      <c r="BG131" s="8">
        <v>519.40620040893612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116.87457852438091</v>
      </c>
      <c r="BO131" s="8">
        <v>0</v>
      </c>
    </row>
    <row r="132" spans="18:71" x14ac:dyDescent="0.25">
      <c r="R132" s="56">
        <v>39753</v>
      </c>
      <c r="S132" s="8">
        <v>1191.03956413269</v>
      </c>
      <c r="T132" s="8">
        <v>3384.0926489830017</v>
      </c>
      <c r="U132" s="8">
        <v>0</v>
      </c>
      <c r="V132" s="8">
        <v>1713.5229993909606</v>
      </c>
      <c r="W132" s="8">
        <v>18686.626896560192</v>
      </c>
      <c r="X132" s="8">
        <v>3041.8987426757812</v>
      </c>
      <c r="Y132" s="8">
        <v>1847.7729663848882</v>
      </c>
      <c r="Z132" s="8">
        <v>8102.2585926055926</v>
      </c>
      <c r="AA132" s="8">
        <v>0</v>
      </c>
      <c r="AB132" s="56">
        <f>R132</f>
        <v>39753</v>
      </c>
      <c r="AC132" s="8">
        <f>SUM(S128:S132)+SUM(Y128:Y132)</f>
        <v>3558.2187309265141</v>
      </c>
      <c r="AD132" s="8">
        <f>SUM(T120:T131)+SUM(U120:U131)+SUM(V120:V131)+SUM(W120:W131)+SUM(X120:X131)+SUM(Z120:Z131)+SUM(AA120:AA131)</f>
        <v>79711.498855373822</v>
      </c>
      <c r="AE132" s="8"/>
      <c r="BF132" s="56">
        <v>39753</v>
      </c>
      <c r="BG132" s="8">
        <v>1191.03956413269</v>
      </c>
      <c r="BH132" s="8">
        <v>3384.0926489830017</v>
      </c>
      <c r="BI132" s="8">
        <v>0</v>
      </c>
      <c r="BJ132" s="8">
        <v>1713.5229993909606</v>
      </c>
      <c r="BK132" s="8">
        <v>1531.8017463684087</v>
      </c>
      <c r="BL132" s="8">
        <v>7753.1292009353656</v>
      </c>
      <c r="BM132" s="8">
        <v>0</v>
      </c>
      <c r="BN132" s="8">
        <v>18555.684781074531</v>
      </c>
      <c r="BO132" s="8">
        <v>2965.0099182128906</v>
      </c>
      <c r="BP132" s="56">
        <f>BF132</f>
        <v>39753</v>
      </c>
      <c r="BQ132" s="8">
        <f>SUM(BG128:BG132)+SUM(BK128:BK132)</f>
        <v>3242.2475109100346</v>
      </c>
      <c r="BR132" s="8">
        <f>SUM(BH120:BH131)+SUM(BI120:BI131)+SUM(BJ120:BJ131)+SUM(BL120:BL131)+SUM(BM120:BM131)+SUM(BN120:BN131)</f>
        <v>85152.872332852334</v>
      </c>
      <c r="BS132" s="8">
        <f>SUM(BO120:BO131)</f>
        <v>89.983917236328097</v>
      </c>
    </row>
    <row r="133" spans="18:71" x14ac:dyDescent="0.25">
      <c r="R133" s="56">
        <v>39783</v>
      </c>
      <c r="S133" s="8">
        <v>1083.7326755523682</v>
      </c>
      <c r="T133" s="8">
        <v>1253.1717796325684</v>
      </c>
      <c r="U133" s="8">
        <v>0</v>
      </c>
      <c r="V133" s="8">
        <v>3520.1610693596294</v>
      </c>
      <c r="W133" s="8">
        <v>11434.321510404348</v>
      </c>
      <c r="X133" s="8">
        <v>76.068511962890597</v>
      </c>
      <c r="Y133" s="8">
        <v>58.712032318115199</v>
      </c>
      <c r="Z133" s="8">
        <v>5207.4031801223764</v>
      </c>
      <c r="AA133" s="8">
        <v>0</v>
      </c>
      <c r="BF133" s="56">
        <v>39783</v>
      </c>
      <c r="BG133" s="8">
        <v>1083.7326755523682</v>
      </c>
      <c r="BH133" s="8">
        <v>1253.1717796325684</v>
      </c>
      <c r="BI133" s="8">
        <v>0</v>
      </c>
      <c r="BJ133" s="8">
        <v>3520.1610693596294</v>
      </c>
      <c r="BK133" s="8">
        <v>59.333461761474602</v>
      </c>
      <c r="BL133" s="8">
        <v>5049.5763664245605</v>
      </c>
      <c r="BM133" s="8">
        <v>0</v>
      </c>
      <c r="BN133" s="8">
        <v>11417.854810493067</v>
      </c>
      <c r="BO133" s="8">
        <v>75.504150390625</v>
      </c>
      <c r="BQ133" s="8">
        <f>SUM(BG128:BG136)+SUM(BK128:BK136)</f>
        <v>16633.760769844059</v>
      </c>
      <c r="BR133" s="8">
        <f>SUM(BH132:BH136)+SUM(BI132:BI136)+SUM(BJ132:BJ136)+SUM(BL132:BL136)+SUM(BM132:BM136)+SUM(BN132:BN136)+SUM(BO132:BO136)</f>
        <v>71581.06218098478</v>
      </c>
    </row>
    <row r="134" spans="18:71" x14ac:dyDescent="0.25">
      <c r="R134" s="56">
        <v>39814</v>
      </c>
      <c r="S134" s="8">
        <v>3075.9152946472173</v>
      </c>
      <c r="T134" s="8">
        <v>6.8812832832336399</v>
      </c>
      <c r="U134" s="8">
        <v>0</v>
      </c>
      <c r="V134" s="8">
        <v>312.07072886824608</v>
      </c>
      <c r="W134" s="8">
        <v>2804.709812313321</v>
      </c>
      <c r="X134" s="8">
        <v>0</v>
      </c>
      <c r="Y134" s="8">
        <v>3406.9591627120949</v>
      </c>
      <c r="Z134" s="8">
        <v>2264.166199684144</v>
      </c>
      <c r="AA134" s="8">
        <v>0</v>
      </c>
      <c r="BF134" s="56">
        <v>39814</v>
      </c>
      <c r="BG134" s="8">
        <v>3075.9152946472173</v>
      </c>
      <c r="BH134" s="8">
        <v>6.8812832832336399</v>
      </c>
      <c r="BI134" s="8">
        <v>0</v>
      </c>
      <c r="BJ134" s="8">
        <v>312.07072886824608</v>
      </c>
      <c r="BK134" s="8">
        <v>3621.6775054931677</v>
      </c>
      <c r="BL134" s="8">
        <v>2178.1055145263695</v>
      </c>
      <c r="BM134" s="8">
        <v>0</v>
      </c>
      <c r="BN134" s="8">
        <v>2393.4570580031714</v>
      </c>
      <c r="BO134" s="8">
        <v>0</v>
      </c>
    </row>
    <row r="135" spans="18:71" x14ac:dyDescent="0.25">
      <c r="R135" s="56">
        <v>39845</v>
      </c>
      <c r="S135" s="8">
        <v>913.75724411010742</v>
      </c>
      <c r="T135" s="8">
        <v>0</v>
      </c>
      <c r="U135" s="8">
        <v>0</v>
      </c>
      <c r="V135" s="8">
        <v>764.39511489868164</v>
      </c>
      <c r="W135" s="8">
        <v>2174.7112247943883</v>
      </c>
      <c r="X135" s="8">
        <v>0</v>
      </c>
      <c r="Y135" s="8">
        <v>3993.8821163177445</v>
      </c>
      <c r="Z135" s="8">
        <v>0</v>
      </c>
      <c r="AA135" s="8">
        <v>0</v>
      </c>
      <c r="BF135" s="56">
        <v>39845</v>
      </c>
      <c r="BG135" s="8">
        <v>913.75724411010742</v>
      </c>
      <c r="BH135" s="8">
        <v>0</v>
      </c>
      <c r="BI135" s="8">
        <v>0</v>
      </c>
      <c r="BJ135" s="8">
        <v>764.39511489868164</v>
      </c>
      <c r="BK135" s="8">
        <v>4131.9919242858887</v>
      </c>
      <c r="BL135" s="8">
        <v>0</v>
      </c>
      <c r="BM135" s="8">
        <v>0</v>
      </c>
      <c r="BN135" s="8">
        <v>6821.8943556547156</v>
      </c>
      <c r="BO135" s="8">
        <v>1347.8962097167978</v>
      </c>
    </row>
    <row r="136" spans="18:71" x14ac:dyDescent="0.25">
      <c r="R136" s="56">
        <v>39873</v>
      </c>
      <c r="S136" s="8">
        <v>15.0821332931519</v>
      </c>
      <c r="T136" s="8">
        <v>0</v>
      </c>
      <c r="U136" s="8">
        <v>0</v>
      </c>
      <c r="V136" s="8">
        <v>173.5231781005858</v>
      </c>
      <c r="W136" s="8">
        <v>1063.2654526233671</v>
      </c>
      <c r="X136" s="8">
        <v>0</v>
      </c>
      <c r="Y136" s="8">
        <v>555.04213047027588</v>
      </c>
      <c r="Z136" s="8">
        <v>0</v>
      </c>
      <c r="AA136" s="8">
        <v>0</v>
      </c>
      <c r="BF136" s="56">
        <v>39873</v>
      </c>
      <c r="BG136" s="8">
        <v>15.0821332931519</v>
      </c>
      <c r="BH136" s="8">
        <v>0</v>
      </c>
      <c r="BI136" s="8">
        <v>0</v>
      </c>
      <c r="BJ136" s="8">
        <v>173.5231781005858</v>
      </c>
      <c r="BK136" s="8">
        <v>490.02301979064936</v>
      </c>
      <c r="BL136" s="8">
        <v>0</v>
      </c>
      <c r="BM136" s="8">
        <v>0</v>
      </c>
      <c r="BN136" s="8">
        <v>1895.1310130357745</v>
      </c>
      <c r="BO136" s="8">
        <v>0</v>
      </c>
    </row>
    <row r="137" spans="18:71" x14ac:dyDescent="0.25">
      <c r="R137" s="56">
        <v>39904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6.3674564063549042</v>
      </c>
      <c r="Z137" s="8">
        <v>0</v>
      </c>
      <c r="AA137" s="8">
        <v>0</v>
      </c>
      <c r="BF137" s="56">
        <v>39904</v>
      </c>
      <c r="BG137" s="8">
        <v>0</v>
      </c>
      <c r="BH137" s="8">
        <v>0</v>
      </c>
      <c r="BI137" s="8">
        <v>0</v>
      </c>
      <c r="BJ137" s="8">
        <v>0</v>
      </c>
      <c r="BK137" s="8">
        <v>31.874546587467215</v>
      </c>
      <c r="BL137" s="8">
        <v>0</v>
      </c>
      <c r="BM137" s="8">
        <v>0</v>
      </c>
      <c r="BN137" s="8">
        <v>0</v>
      </c>
      <c r="BO137" s="8">
        <v>0</v>
      </c>
    </row>
    <row r="138" spans="18:71" x14ac:dyDescent="0.25">
      <c r="R138" s="56">
        <v>39934</v>
      </c>
      <c r="S138" s="8">
        <v>0</v>
      </c>
      <c r="T138" s="8">
        <v>0</v>
      </c>
      <c r="U138" s="8">
        <v>0</v>
      </c>
      <c r="V138" s="8">
        <v>0</v>
      </c>
      <c r="W138" s="8">
        <v>9283.3186462279409</v>
      </c>
      <c r="X138" s="8">
        <v>529.59677124023415</v>
      </c>
      <c r="Y138" s="8">
        <v>0</v>
      </c>
      <c r="Z138" s="8">
        <v>5173.24757933617</v>
      </c>
      <c r="AA138" s="8">
        <v>0</v>
      </c>
      <c r="BF138" s="56">
        <v>39934</v>
      </c>
      <c r="BG138" s="8">
        <v>0</v>
      </c>
      <c r="BH138" s="8">
        <v>0</v>
      </c>
      <c r="BI138" s="8">
        <v>0</v>
      </c>
      <c r="BJ138" s="8">
        <v>0</v>
      </c>
      <c r="BK138" s="8">
        <v>0</v>
      </c>
      <c r="BL138" s="8">
        <v>4222.4732656478909</v>
      </c>
      <c r="BM138" s="8">
        <v>0</v>
      </c>
      <c r="BN138" s="8">
        <v>4730.7434078492215</v>
      </c>
      <c r="BO138" s="8">
        <v>0</v>
      </c>
    </row>
    <row r="139" spans="18:71" x14ac:dyDescent="0.25">
      <c r="R139" s="56">
        <v>39965</v>
      </c>
      <c r="S139" s="8">
        <v>0</v>
      </c>
      <c r="T139" s="8">
        <v>0</v>
      </c>
      <c r="U139" s="8">
        <v>0</v>
      </c>
      <c r="V139" s="8">
        <v>579.30712890625</v>
      </c>
      <c r="W139" s="8">
        <v>7322.9246513843536</v>
      </c>
      <c r="X139" s="8">
        <v>6.9405517578125</v>
      </c>
      <c r="Y139" s="8">
        <v>0</v>
      </c>
      <c r="Z139" s="8">
        <v>4608.4641723632812</v>
      </c>
      <c r="AA139" s="8">
        <v>0</v>
      </c>
      <c r="BF139" s="56">
        <v>39965</v>
      </c>
      <c r="BG139" s="8">
        <v>0</v>
      </c>
      <c r="BH139" s="8">
        <v>0</v>
      </c>
      <c r="BI139" s="8">
        <v>0</v>
      </c>
      <c r="BJ139" s="8">
        <v>579.30712890625</v>
      </c>
      <c r="BK139" s="8">
        <v>0</v>
      </c>
      <c r="BL139" s="8">
        <v>3743.1831588745163</v>
      </c>
      <c r="BM139" s="8">
        <v>0</v>
      </c>
      <c r="BN139" s="8">
        <v>4121.3411099910754</v>
      </c>
      <c r="BO139" s="8">
        <v>0</v>
      </c>
    </row>
    <row r="140" spans="18:71" x14ac:dyDescent="0.25">
      <c r="R140" s="56">
        <v>39995</v>
      </c>
      <c r="S140" s="8">
        <v>0</v>
      </c>
      <c r="T140" s="8">
        <v>0</v>
      </c>
      <c r="U140" s="8">
        <v>0</v>
      </c>
      <c r="V140" s="8">
        <v>0</v>
      </c>
      <c r="BF140" s="56">
        <v>39995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</row>
    <row r="141" spans="18:71" x14ac:dyDescent="0.25">
      <c r="R141" s="56">
        <v>40026</v>
      </c>
      <c r="S141" s="8">
        <v>0</v>
      </c>
      <c r="T141" s="8">
        <v>0</v>
      </c>
      <c r="U141" s="8">
        <v>0</v>
      </c>
      <c r="V141" s="8">
        <v>0</v>
      </c>
      <c r="BF141" s="56">
        <v>40026</v>
      </c>
      <c r="BG141" s="8">
        <v>0</v>
      </c>
      <c r="BH141" s="8">
        <v>0</v>
      </c>
      <c r="BI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</row>
    <row r="142" spans="18:71" x14ac:dyDescent="0.25">
      <c r="R142" s="56">
        <v>40057</v>
      </c>
      <c r="S142" s="8">
        <v>285.7350817620752</v>
      </c>
      <c r="T142" s="8">
        <v>0</v>
      </c>
      <c r="U142" s="8">
        <v>0</v>
      </c>
      <c r="V142" s="8">
        <v>0</v>
      </c>
      <c r="BF142" s="56">
        <v>40057</v>
      </c>
      <c r="BG142" s="8">
        <v>285.7350817620752</v>
      </c>
      <c r="BH142" s="8">
        <v>0</v>
      </c>
      <c r="BI142" s="8">
        <v>0</v>
      </c>
      <c r="BJ142" s="8">
        <v>0</v>
      </c>
      <c r="BK142" s="8">
        <v>45.5667114257813</v>
      </c>
      <c r="BL142" s="8">
        <v>0</v>
      </c>
      <c r="BM142" s="8">
        <v>0</v>
      </c>
      <c r="BN142" s="8">
        <v>24.284950941801078</v>
      </c>
      <c r="BO142" s="8">
        <v>0</v>
      </c>
    </row>
    <row r="143" spans="18:71" x14ac:dyDescent="0.25">
      <c r="R143" s="56">
        <v>40087</v>
      </c>
      <c r="S143" s="8">
        <v>0</v>
      </c>
      <c r="T143" s="8">
        <v>0</v>
      </c>
      <c r="U143" s="8">
        <v>0</v>
      </c>
      <c r="V143" s="8">
        <v>0</v>
      </c>
      <c r="BF143" s="56">
        <v>40087</v>
      </c>
      <c r="BG143" s="8">
        <v>0</v>
      </c>
      <c r="BH143" s="8">
        <v>0</v>
      </c>
      <c r="BI143" s="8">
        <v>0</v>
      </c>
      <c r="BJ143" s="8">
        <v>0</v>
      </c>
      <c r="BK143" s="8">
        <v>1912.9400253295921</v>
      </c>
      <c r="BL143" s="8">
        <v>0</v>
      </c>
      <c r="BM143" s="8">
        <v>0</v>
      </c>
      <c r="BN143" s="8">
        <v>787.82124814391159</v>
      </c>
      <c r="BO143" s="8">
        <v>0</v>
      </c>
    </row>
    <row r="144" spans="18:71" x14ac:dyDescent="0.25">
      <c r="R144" s="56">
        <v>40118</v>
      </c>
      <c r="S144" s="8">
        <v>0</v>
      </c>
      <c r="T144" s="8">
        <v>0</v>
      </c>
      <c r="U144" s="8">
        <v>0</v>
      </c>
      <c r="V144" s="8">
        <v>0</v>
      </c>
      <c r="BF144" s="56">
        <v>40118</v>
      </c>
      <c r="BG144" s="8">
        <v>0</v>
      </c>
      <c r="BH144" s="8">
        <v>0</v>
      </c>
      <c r="BI144" s="8">
        <v>0</v>
      </c>
      <c r="BJ144" s="8">
        <v>0</v>
      </c>
      <c r="BK144" s="8">
        <v>2553.1030492782597</v>
      </c>
      <c r="BL144" s="8">
        <v>0</v>
      </c>
      <c r="BM144" s="8">
        <v>0</v>
      </c>
      <c r="BN144" s="8">
        <v>968.91976809501648</v>
      </c>
      <c r="BO144" s="8">
        <v>0</v>
      </c>
      <c r="BP144" s="56">
        <f>BF144</f>
        <v>40118</v>
      </c>
      <c r="BQ144" s="8">
        <f>SUM(BG140:BG144)+SUM(BK140:BK144)</f>
        <v>4797.3448677957085</v>
      </c>
      <c r="BR144" s="8">
        <f>SUM(BH132:BH143)+SUM(BI132:BI143)+SUM(BJ132:BJ143)+SUM(BL132:BL143)+SUM(BM132:BM143)+SUM(BN132:BN143)</f>
        <v>85401.80617301914</v>
      </c>
      <c r="BS144" s="8">
        <f>SUM(BO132:BO143)</f>
        <v>4388.4102783203134</v>
      </c>
    </row>
    <row r="145" spans="18:71" x14ac:dyDescent="0.25">
      <c r="R145" s="56">
        <v>40148</v>
      </c>
      <c r="S145" s="8">
        <v>0</v>
      </c>
      <c r="T145" s="8">
        <v>0</v>
      </c>
      <c r="U145" s="8">
        <v>0</v>
      </c>
      <c r="V145" s="8">
        <v>0</v>
      </c>
      <c r="BF145" s="56">
        <v>40148</v>
      </c>
      <c r="BG145" s="8">
        <v>0</v>
      </c>
      <c r="BH145" s="8">
        <v>0</v>
      </c>
      <c r="BI145" s="8">
        <v>0</v>
      </c>
      <c r="BJ145" s="8">
        <v>0</v>
      </c>
      <c r="BK145" s="8">
        <v>5598.607723236084</v>
      </c>
      <c r="BL145" s="8">
        <v>0</v>
      </c>
      <c r="BM145" s="8">
        <v>0</v>
      </c>
      <c r="BN145" s="8">
        <v>982.97182273864746</v>
      </c>
      <c r="BO145" s="8">
        <v>0</v>
      </c>
      <c r="BQ145" s="8">
        <f>SUM(BG140:BG148)+SUM(BK140:BK148)</f>
        <v>14956.445954710251</v>
      </c>
      <c r="BR145" s="8">
        <f>SUM(BH144:BH148)+SUM(BI144:BI148)+SUM(BJ144:BJ148)+SUM(BL144:BL148)+SUM(BM144:BM148)+SUM(BN144:BN148)+SUM(BO144:BO148)</f>
        <v>115028.86575838175</v>
      </c>
    </row>
    <row r="146" spans="18:71" x14ac:dyDescent="0.25">
      <c r="R146" s="56">
        <v>40179</v>
      </c>
      <c r="S146" s="8">
        <v>23.824939072132139</v>
      </c>
      <c r="T146" s="8">
        <v>833.72805404663018</v>
      </c>
      <c r="U146" s="8">
        <v>0</v>
      </c>
      <c r="V146" s="8">
        <v>4906.1000055074692</v>
      </c>
      <c r="BF146" s="56">
        <v>40179</v>
      </c>
      <c r="BG146" s="8">
        <v>23.824939072132139</v>
      </c>
      <c r="BH146" s="8">
        <v>833.72805404663018</v>
      </c>
      <c r="BI146" s="8">
        <v>0</v>
      </c>
      <c r="BJ146" s="8">
        <v>4906.1000055074692</v>
      </c>
      <c r="BK146" s="8">
        <v>1839.5578746795659</v>
      </c>
      <c r="BL146" s="8">
        <v>10257.17228698731</v>
      </c>
      <c r="BM146" s="8">
        <v>0</v>
      </c>
      <c r="BN146" s="8">
        <v>12728.169136017559</v>
      </c>
      <c r="BO146" s="8">
        <v>0</v>
      </c>
    </row>
    <row r="147" spans="18:71" x14ac:dyDescent="0.25">
      <c r="R147" s="56">
        <v>40210</v>
      </c>
      <c r="S147" s="8">
        <v>0</v>
      </c>
      <c r="T147" s="8">
        <v>0</v>
      </c>
      <c r="U147" s="8">
        <v>0</v>
      </c>
      <c r="V147" s="8">
        <v>48.118440866470365</v>
      </c>
      <c r="BF147" s="56">
        <v>40210</v>
      </c>
      <c r="BG147" s="8">
        <v>0</v>
      </c>
      <c r="BH147" s="8">
        <v>0</v>
      </c>
      <c r="BI147" s="8">
        <v>0</v>
      </c>
      <c r="BJ147" s="8">
        <v>48.118440866470365</v>
      </c>
      <c r="BK147" s="8">
        <v>2552.2663841247581</v>
      </c>
      <c r="BL147" s="8">
        <v>0</v>
      </c>
      <c r="BM147" s="8">
        <v>0</v>
      </c>
      <c r="BN147" s="8">
        <v>786.94627785682678</v>
      </c>
      <c r="BO147" s="8">
        <v>0</v>
      </c>
    </row>
    <row r="148" spans="18:71" x14ac:dyDescent="0.25">
      <c r="R148" s="56">
        <v>40238</v>
      </c>
      <c r="S148" s="8">
        <v>0</v>
      </c>
      <c r="T148" s="8">
        <v>0</v>
      </c>
      <c r="U148" s="8">
        <v>0</v>
      </c>
      <c r="V148" s="8">
        <v>966.08491754531872</v>
      </c>
      <c r="BF148" s="56">
        <v>40238</v>
      </c>
      <c r="BG148" s="8">
        <v>0</v>
      </c>
      <c r="BH148" s="8">
        <v>0</v>
      </c>
      <c r="BI148" s="8">
        <v>0</v>
      </c>
      <c r="BJ148" s="8">
        <v>966.08491754531872</v>
      </c>
      <c r="BK148" s="8">
        <v>144.8441658020019</v>
      </c>
      <c r="BL148" s="8">
        <v>10566.7626953125</v>
      </c>
      <c r="BM148" s="8">
        <v>402.6240234375</v>
      </c>
      <c r="BN148" s="8">
        <v>61288.757925383725</v>
      </c>
      <c r="BO148" s="8">
        <v>10292.510404586792</v>
      </c>
    </row>
    <row r="149" spans="18:71" x14ac:dyDescent="0.25">
      <c r="R149" s="56">
        <v>40269</v>
      </c>
      <c r="S149" s="8">
        <v>0</v>
      </c>
      <c r="T149" s="8">
        <v>0</v>
      </c>
      <c r="U149" s="8">
        <v>0</v>
      </c>
      <c r="V149" s="8">
        <v>38.340057425200932</v>
      </c>
      <c r="BF149" s="56">
        <v>40269</v>
      </c>
      <c r="BG149" s="8">
        <v>0</v>
      </c>
      <c r="BH149" s="8">
        <v>0</v>
      </c>
      <c r="BI149" s="8">
        <v>0</v>
      </c>
      <c r="BJ149" s="8">
        <v>38.340057425200932</v>
      </c>
      <c r="BK149" s="8">
        <v>1.5522641539573681</v>
      </c>
      <c r="BL149" s="8">
        <v>0</v>
      </c>
      <c r="BM149" s="8">
        <v>0</v>
      </c>
      <c r="BN149" s="8">
        <v>2682.2178488373752</v>
      </c>
      <c r="BO149" s="8">
        <v>0</v>
      </c>
    </row>
    <row r="150" spans="18:71" x14ac:dyDescent="0.25">
      <c r="R150" s="56">
        <v>40299</v>
      </c>
      <c r="S150" s="8">
        <v>0</v>
      </c>
      <c r="T150" s="8">
        <v>0</v>
      </c>
      <c r="U150" s="8">
        <v>0</v>
      </c>
      <c r="V150" s="8">
        <v>0</v>
      </c>
      <c r="BF150" s="56">
        <v>40299</v>
      </c>
      <c r="BG150" s="8">
        <v>0</v>
      </c>
      <c r="BH150" s="8">
        <v>0</v>
      </c>
      <c r="BI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</row>
    <row r="151" spans="18:71" x14ac:dyDescent="0.25">
      <c r="R151" s="56">
        <v>40330</v>
      </c>
      <c r="S151" s="8">
        <v>0</v>
      </c>
      <c r="T151" s="8">
        <v>0</v>
      </c>
      <c r="U151" s="8">
        <v>0</v>
      </c>
      <c r="V151" s="8">
        <v>313.6005859375</v>
      </c>
      <c r="BF151" s="56">
        <v>40330</v>
      </c>
      <c r="BG151" s="8">
        <v>0</v>
      </c>
      <c r="BH151" s="8">
        <v>0</v>
      </c>
      <c r="BI151" s="8">
        <v>0</v>
      </c>
      <c r="BJ151" s="8">
        <v>313.6005859375</v>
      </c>
      <c r="BK151" s="8">
        <v>0</v>
      </c>
      <c r="BL151" s="8">
        <v>0</v>
      </c>
      <c r="BM151" s="8">
        <v>0</v>
      </c>
      <c r="BN151" s="8">
        <v>418.11736547946919</v>
      </c>
      <c r="BO151" s="8">
        <v>0</v>
      </c>
    </row>
    <row r="152" spans="18:71" x14ac:dyDescent="0.25">
      <c r="R152" s="56">
        <v>40360</v>
      </c>
      <c r="S152" s="8">
        <v>0</v>
      </c>
      <c r="T152" s="8">
        <v>0</v>
      </c>
      <c r="U152" s="8">
        <v>0</v>
      </c>
      <c r="V152" s="8">
        <v>1583.1762574315064</v>
      </c>
      <c r="BF152" s="56">
        <v>40360</v>
      </c>
      <c r="BG152" s="8">
        <v>0</v>
      </c>
      <c r="BH152" s="8">
        <v>0</v>
      </c>
      <c r="BI152" s="8">
        <v>0</v>
      </c>
      <c r="BJ152" s="8">
        <v>1583.1762574315064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</row>
    <row r="153" spans="18:71" x14ac:dyDescent="0.25">
      <c r="R153" s="56">
        <v>40391</v>
      </c>
      <c r="S153" s="8">
        <v>2.0362747932267701E-7</v>
      </c>
      <c r="T153" s="8">
        <v>5582.2771441936538</v>
      </c>
      <c r="U153" s="8">
        <v>0</v>
      </c>
      <c r="V153" s="8">
        <v>1870.9955825069947</v>
      </c>
      <c r="BF153" s="56">
        <v>40391</v>
      </c>
      <c r="BG153" s="8">
        <v>2.0362747932267701E-7</v>
      </c>
      <c r="BH153" s="8">
        <v>5582.2771441936538</v>
      </c>
      <c r="BI153" s="8">
        <v>0</v>
      </c>
      <c r="BJ153" s="8">
        <v>1870.9955825069947</v>
      </c>
      <c r="BK153" s="8">
        <v>0</v>
      </c>
      <c r="BL153" s="8">
        <v>25978.984973907478</v>
      </c>
      <c r="BM153" s="8">
        <v>1.9248046875</v>
      </c>
      <c r="BN153" s="8">
        <v>39122.348227739334</v>
      </c>
      <c r="BO153" s="8">
        <v>40.8504638671875</v>
      </c>
    </row>
    <row r="154" spans="18:71" x14ac:dyDescent="0.25">
      <c r="R154" s="56">
        <v>40422</v>
      </c>
      <c r="S154" s="8">
        <v>0</v>
      </c>
      <c r="T154" s="8">
        <v>2459.3980598449725</v>
      </c>
      <c r="U154" s="8">
        <v>0</v>
      </c>
      <c r="V154" s="8">
        <v>252.56312570720905</v>
      </c>
      <c r="BF154" s="56">
        <v>40422</v>
      </c>
      <c r="BG154" s="8">
        <v>0</v>
      </c>
      <c r="BH154" s="8">
        <v>2459.3980598449725</v>
      </c>
      <c r="BI154" s="8">
        <v>0</v>
      </c>
      <c r="BJ154" s="8">
        <v>252.56312570720905</v>
      </c>
      <c r="BK154" s="8">
        <v>0</v>
      </c>
      <c r="BL154" s="8">
        <v>0</v>
      </c>
      <c r="BM154" s="8">
        <v>4096.4736328125</v>
      </c>
      <c r="BN154" s="8">
        <v>40153.525977134705</v>
      </c>
      <c r="BO154" s="8">
        <v>5019.2518310546875</v>
      </c>
    </row>
    <row r="155" spans="18:71" x14ac:dyDescent="0.25">
      <c r="R155" s="56">
        <v>40452</v>
      </c>
      <c r="S155" s="8">
        <v>218.30368715524682</v>
      </c>
      <c r="T155" s="8">
        <v>3654.9294815063513</v>
      </c>
      <c r="U155" s="8">
        <v>0</v>
      </c>
      <c r="V155" s="8">
        <v>1276.6139745935802</v>
      </c>
      <c r="BF155" s="56">
        <v>40452</v>
      </c>
      <c r="BG155" s="8">
        <v>218.30368715524682</v>
      </c>
      <c r="BH155" s="8">
        <v>3654.9294815063513</v>
      </c>
      <c r="BI155" s="8">
        <v>0</v>
      </c>
      <c r="BJ155" s="8">
        <v>1276.6139745935802</v>
      </c>
      <c r="BK155" s="8">
        <v>0</v>
      </c>
      <c r="BL155" s="8">
        <v>12898.06640625</v>
      </c>
      <c r="BM155" s="8">
        <v>5.498046875</v>
      </c>
      <c r="BN155" s="8">
        <v>4550.0280823707581</v>
      </c>
      <c r="BO155" s="8">
        <v>155.02622795104978</v>
      </c>
    </row>
    <row r="156" spans="18:71" x14ac:dyDescent="0.25">
      <c r="R156" s="56">
        <v>40483</v>
      </c>
      <c r="S156" s="8">
        <v>648.16787636280071</v>
      </c>
      <c r="T156" s="8">
        <v>1360.0901412963867</v>
      </c>
      <c r="U156" s="8">
        <v>0</v>
      </c>
      <c r="V156" s="8">
        <v>42.916346073150635</v>
      </c>
      <c r="BF156" s="56">
        <v>40483</v>
      </c>
      <c r="BG156" s="8">
        <v>648.16787636280071</v>
      </c>
      <c r="BH156" s="8">
        <v>1360.0901412963867</v>
      </c>
      <c r="BI156" s="8">
        <v>0</v>
      </c>
      <c r="BJ156" s="8">
        <v>42.916346073150635</v>
      </c>
      <c r="BK156" s="8">
        <v>0</v>
      </c>
      <c r="BL156" s="8">
        <v>1840.158096313477</v>
      </c>
      <c r="BM156" s="8">
        <v>0</v>
      </c>
      <c r="BN156" s="8">
        <v>3411.9240627288814</v>
      </c>
      <c r="BO156" s="8">
        <v>0</v>
      </c>
      <c r="BP156" s="56">
        <f>BF156</f>
        <v>40483</v>
      </c>
      <c r="BQ156" s="8">
        <f>SUM(BG152:BG156)+SUM(BK152:BK156)</f>
        <v>866.47156372167501</v>
      </c>
      <c r="BR156" s="8">
        <f>SUM(BH144:BH155)+SUM(BI144:BI155)+SUM(BJ144:BJ155)+SUM(BL144:BL155)+SUM(BM144:BM155)+SUM(BN144:BN155)</f>
        <v>251675.43498903606</v>
      </c>
      <c r="BS156" s="8">
        <f>SUM(BO144:BO155)</f>
        <v>15507.638927459717</v>
      </c>
    </row>
    <row r="157" spans="18:71" x14ac:dyDescent="0.25">
      <c r="R157" s="56">
        <v>40513</v>
      </c>
      <c r="S157" s="8">
        <v>1669.6290690898891</v>
      </c>
      <c r="T157" s="8">
        <v>83.633392333984403</v>
      </c>
      <c r="U157" s="8">
        <v>0</v>
      </c>
      <c r="V157" s="8">
        <v>8.3246044218540192</v>
      </c>
      <c r="BF157" s="56">
        <v>40513</v>
      </c>
      <c r="BG157" s="8">
        <v>1669.6290690898891</v>
      </c>
      <c r="BH157" s="8">
        <v>83.633392333984403</v>
      </c>
      <c r="BI157" s="8">
        <v>0</v>
      </c>
      <c r="BJ157" s="8">
        <v>8.3246044218540192</v>
      </c>
      <c r="BK157" s="8">
        <v>0</v>
      </c>
      <c r="BL157" s="8">
        <v>4520.865234375</v>
      </c>
      <c r="BM157" s="8">
        <v>7.515625</v>
      </c>
      <c r="BN157" s="8">
        <v>8008.2910399436969</v>
      </c>
      <c r="BO157" s="8">
        <v>79.91455078125</v>
      </c>
      <c r="BQ157" s="8">
        <f>SUM(BG152:BG160)+SUM(BK152:BK160)</f>
        <v>12453.19376672876</v>
      </c>
      <c r="BR157" s="8">
        <f>SUM(BH156:BH160)+SUM(BI156:BI160)+SUM(BJ156:BJ160)+SUM(BL156:BL160)+SUM(BM156:BM160)+SUM(BN156:BN160)+SUM(BO156:BO160)</f>
        <v>119610.93040454388</v>
      </c>
    </row>
    <row r="158" spans="18:71" x14ac:dyDescent="0.25">
      <c r="R158" s="56">
        <v>40544</v>
      </c>
      <c r="S158" s="8">
        <v>3771.7585773468013</v>
      </c>
      <c r="T158" s="8">
        <v>505.42017936706554</v>
      </c>
      <c r="U158" s="8">
        <v>0</v>
      </c>
      <c r="V158" s="8">
        <v>3279.6689510345464</v>
      </c>
      <c r="BF158" s="56">
        <v>40544</v>
      </c>
      <c r="BG158" s="8">
        <v>3771.7585773468013</v>
      </c>
      <c r="BH158" s="8">
        <v>505.42017936706554</v>
      </c>
      <c r="BI158" s="8">
        <v>0</v>
      </c>
      <c r="BJ158" s="8">
        <v>3279.6689510345464</v>
      </c>
      <c r="BK158" s="8">
        <v>0</v>
      </c>
      <c r="BL158" s="8">
        <v>17802.11328125</v>
      </c>
      <c r="BM158" s="8">
        <v>1304.16064453125</v>
      </c>
      <c r="BN158" s="8">
        <v>44635.932736694813</v>
      </c>
      <c r="BO158" s="8">
        <v>2856.083251953125</v>
      </c>
    </row>
    <row r="159" spans="18:71" x14ac:dyDescent="0.25">
      <c r="R159" s="56">
        <v>40575</v>
      </c>
      <c r="S159" s="8">
        <v>3388.4420764517281</v>
      </c>
      <c r="T159" s="8">
        <v>0</v>
      </c>
      <c r="U159" s="8">
        <v>0</v>
      </c>
      <c r="V159" s="8">
        <v>1238.199743270874</v>
      </c>
      <c r="BF159" s="56">
        <v>40575</v>
      </c>
      <c r="BG159" s="8">
        <v>3388.4420764517281</v>
      </c>
      <c r="BH159" s="8">
        <v>0</v>
      </c>
      <c r="BI159" s="8">
        <v>0</v>
      </c>
      <c r="BJ159" s="8">
        <v>1238.199743270874</v>
      </c>
      <c r="BK159" s="8">
        <v>0</v>
      </c>
      <c r="BL159" s="8">
        <v>0</v>
      </c>
      <c r="BM159" s="8">
        <v>1009.345703125</v>
      </c>
      <c r="BN159" s="8">
        <v>25053.877032279968</v>
      </c>
      <c r="BO159" s="8">
        <v>599.1416015625</v>
      </c>
    </row>
    <row r="160" spans="18:71" x14ac:dyDescent="0.25">
      <c r="R160" s="56">
        <v>40603</v>
      </c>
      <c r="S160" s="8">
        <v>2491.3112804726693</v>
      </c>
      <c r="T160" s="8">
        <v>0.62268733978271495</v>
      </c>
      <c r="U160" s="8">
        <v>0</v>
      </c>
      <c r="V160" s="8">
        <v>490.69729995727528</v>
      </c>
      <c r="BF160" s="56">
        <v>40603</v>
      </c>
      <c r="BG160" s="8">
        <v>2491.3112804726693</v>
      </c>
      <c r="BH160" s="8">
        <v>0.62268733978271495</v>
      </c>
      <c r="BI160" s="8">
        <v>0</v>
      </c>
      <c r="BJ160" s="8">
        <v>490.69729995727528</v>
      </c>
      <c r="BK160" s="8">
        <v>265.58119964599649</v>
      </c>
      <c r="BL160" s="8">
        <v>0</v>
      </c>
      <c r="BM160" s="8">
        <v>0</v>
      </c>
      <c r="BN160" s="8">
        <v>1472.0341989099979</v>
      </c>
      <c r="BO160" s="8">
        <v>0</v>
      </c>
    </row>
    <row r="161" spans="18:71" x14ac:dyDescent="0.25">
      <c r="R161" s="56">
        <v>40634</v>
      </c>
      <c r="S161" s="8">
        <v>589.88187252043269</v>
      </c>
      <c r="T161" s="8">
        <v>0</v>
      </c>
      <c r="U161" s="8">
        <v>0</v>
      </c>
      <c r="V161" s="8">
        <v>150.81689453125</v>
      </c>
      <c r="BF161" s="56">
        <v>40634</v>
      </c>
      <c r="BG161" s="8">
        <v>589.88187252043269</v>
      </c>
      <c r="BH161" s="8">
        <v>0</v>
      </c>
      <c r="BI161" s="8">
        <v>0</v>
      </c>
      <c r="BJ161" s="8">
        <v>150.81689453125</v>
      </c>
      <c r="BK161" s="8">
        <v>0</v>
      </c>
      <c r="BL161" s="8">
        <v>0</v>
      </c>
      <c r="BM161" s="8">
        <v>0</v>
      </c>
      <c r="BN161" s="8">
        <v>1348.8687692880628</v>
      </c>
      <c r="BO161" s="8">
        <v>0</v>
      </c>
    </row>
    <row r="162" spans="18:71" x14ac:dyDescent="0.25">
      <c r="R162" s="56">
        <v>40664</v>
      </c>
      <c r="S162" s="8">
        <v>700.62307572364796</v>
      </c>
      <c r="T162" s="8">
        <v>0</v>
      </c>
      <c r="U162" s="8">
        <v>0</v>
      </c>
      <c r="V162" s="8">
        <v>13.29296875</v>
      </c>
      <c r="BF162" s="56">
        <v>40664</v>
      </c>
      <c r="BG162" s="8">
        <v>700.62307572364796</v>
      </c>
      <c r="BH162" s="8">
        <v>0</v>
      </c>
      <c r="BI162" s="8">
        <v>0</v>
      </c>
      <c r="BJ162" s="8">
        <v>13.29296875</v>
      </c>
      <c r="BK162" s="8">
        <v>0</v>
      </c>
      <c r="BL162" s="8">
        <v>0</v>
      </c>
      <c r="BM162" s="8">
        <v>0</v>
      </c>
      <c r="BN162" s="8">
        <v>125.81710720062249</v>
      </c>
      <c r="BO162" s="8">
        <v>0</v>
      </c>
    </row>
    <row r="163" spans="18:71" x14ac:dyDescent="0.25">
      <c r="R163" s="56">
        <v>40695</v>
      </c>
      <c r="S163" s="8">
        <v>402.36380791664084</v>
      </c>
      <c r="T163" s="8">
        <v>1578.5773572921751</v>
      </c>
      <c r="U163" s="8">
        <v>0</v>
      </c>
      <c r="V163" s="8">
        <v>152.2138671875</v>
      </c>
      <c r="BF163" s="56">
        <v>40695</v>
      </c>
      <c r="BG163" s="8">
        <v>402.36380791664084</v>
      </c>
      <c r="BH163" s="8">
        <v>1578.5773572921751</v>
      </c>
      <c r="BI163" s="8">
        <v>0</v>
      </c>
      <c r="BJ163" s="8">
        <v>152.2138671875</v>
      </c>
      <c r="BK163" s="8">
        <v>0</v>
      </c>
      <c r="BL163" s="8">
        <v>0</v>
      </c>
      <c r="BM163" s="8">
        <v>0</v>
      </c>
      <c r="BN163" s="8">
        <v>9440.8124566078204</v>
      </c>
      <c r="BO163" s="8">
        <v>0</v>
      </c>
    </row>
    <row r="164" spans="18:71" x14ac:dyDescent="0.25">
      <c r="R164" s="56">
        <v>40725</v>
      </c>
      <c r="S164" s="8">
        <v>479.11615085601801</v>
      </c>
      <c r="T164" s="8">
        <v>0</v>
      </c>
      <c r="U164" s="8">
        <v>0</v>
      </c>
      <c r="V164" s="8">
        <v>2052.7648171409974</v>
      </c>
      <c r="BF164" s="56">
        <v>40725</v>
      </c>
      <c r="BG164" s="8">
        <v>479.11615085601801</v>
      </c>
      <c r="BH164" s="8">
        <v>0</v>
      </c>
      <c r="BI164" s="8">
        <v>0</v>
      </c>
      <c r="BJ164" s="8">
        <v>2052.7648171409974</v>
      </c>
      <c r="BK164" s="8">
        <v>0</v>
      </c>
      <c r="BL164" s="8">
        <v>0</v>
      </c>
      <c r="BM164" s="8">
        <v>0</v>
      </c>
      <c r="BN164" s="8">
        <v>274.15897369384777</v>
      </c>
      <c r="BO164" s="8">
        <v>0</v>
      </c>
    </row>
    <row r="165" spans="18:71" x14ac:dyDescent="0.25">
      <c r="R165" s="56">
        <v>40756</v>
      </c>
      <c r="S165" s="8">
        <v>531.41861534118709</v>
      </c>
      <c r="T165" s="8">
        <v>4.1791682243347203</v>
      </c>
      <c r="U165" s="8">
        <v>0</v>
      </c>
      <c r="V165" s="8">
        <v>2.1617901101708377</v>
      </c>
      <c r="BF165" s="56">
        <v>40756</v>
      </c>
      <c r="BG165" s="8">
        <v>531.41861534118709</v>
      </c>
      <c r="BH165" s="8">
        <v>4.1791682243347203</v>
      </c>
      <c r="BI165" s="8">
        <v>0</v>
      </c>
      <c r="BJ165" s="8">
        <v>2.1617901101708377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</row>
    <row r="166" spans="18:71" x14ac:dyDescent="0.25">
      <c r="R166" s="56">
        <v>40787</v>
      </c>
      <c r="S166" s="8">
        <v>2330.8267090176237</v>
      </c>
      <c r="T166" s="8">
        <v>24.70993900299073</v>
      </c>
      <c r="U166" s="8">
        <v>0</v>
      </c>
      <c r="V166" s="8">
        <v>1509.3684973213826</v>
      </c>
      <c r="BF166" s="56">
        <v>40787</v>
      </c>
      <c r="BG166" s="8">
        <v>2330.8267090176237</v>
      </c>
      <c r="BH166" s="8">
        <v>24.70993900299073</v>
      </c>
      <c r="BI166" s="8">
        <v>0</v>
      </c>
      <c r="BJ166" s="8">
        <v>1509.3684973213826</v>
      </c>
      <c r="BK166" s="8">
        <v>6767.3879241943378</v>
      </c>
      <c r="BL166" s="8">
        <v>0</v>
      </c>
      <c r="BM166" s="8">
        <v>0</v>
      </c>
      <c r="BN166" s="8">
        <v>1517.0595197677617</v>
      </c>
      <c r="BO166" s="8">
        <v>0</v>
      </c>
    </row>
    <row r="167" spans="18:71" x14ac:dyDescent="0.25">
      <c r="R167" s="56">
        <v>40817</v>
      </c>
      <c r="S167" s="8">
        <v>63.597505807876615</v>
      </c>
      <c r="T167" s="8">
        <v>377.55922412872354</v>
      </c>
      <c r="U167" s="8">
        <v>0</v>
      </c>
      <c r="V167" s="8">
        <v>353.77996611595108</v>
      </c>
      <c r="BF167" s="56">
        <v>40817</v>
      </c>
      <c r="BG167" s="8">
        <v>63.597505807876615</v>
      </c>
      <c r="BH167" s="8">
        <v>377.55922412872354</v>
      </c>
      <c r="BI167" s="8">
        <v>0</v>
      </c>
      <c r="BJ167" s="8">
        <v>353.77996611595108</v>
      </c>
      <c r="BK167" s="8">
        <v>5035.7251281738281</v>
      </c>
      <c r="BL167" s="8">
        <v>3019.1548542976388</v>
      </c>
      <c r="BM167" s="8">
        <v>0</v>
      </c>
      <c r="BN167" s="8">
        <v>5740.8931124210358</v>
      </c>
      <c r="BO167" s="8">
        <v>0</v>
      </c>
    </row>
    <row r="168" spans="18:71" x14ac:dyDescent="0.25">
      <c r="R168" s="56">
        <v>40848</v>
      </c>
      <c r="S168" s="8">
        <v>1687.178359210491</v>
      </c>
      <c r="T168" s="8">
        <v>5310.1023559570322</v>
      </c>
      <c r="U168" s="8">
        <v>0</v>
      </c>
      <c r="V168" s="8">
        <v>126.51403411477803</v>
      </c>
      <c r="BF168" s="56">
        <v>40848</v>
      </c>
      <c r="BG168" s="8">
        <v>1687.178359210491</v>
      </c>
      <c r="BH168" s="8">
        <v>5310.1023559570322</v>
      </c>
      <c r="BI168" s="8">
        <v>0</v>
      </c>
      <c r="BJ168" s="8">
        <v>126.51403411477803</v>
      </c>
      <c r="BK168" s="8">
        <v>9025.8588294982928</v>
      </c>
      <c r="BL168" s="8">
        <v>654.49186706543026</v>
      </c>
      <c r="BM168" s="8">
        <v>0</v>
      </c>
      <c r="BN168" s="8">
        <v>5107.5000586435199</v>
      </c>
      <c r="BO168" s="8">
        <v>321.77548217773437</v>
      </c>
      <c r="BP168" s="56">
        <f>BF168</f>
        <v>40848</v>
      </c>
      <c r="BQ168" s="8">
        <f>SUM(BG164:BG168)+SUM(BK164:BK168)</f>
        <v>25921.109222099654</v>
      </c>
      <c r="BR168" s="8">
        <f>SUM(BH156:BH167)+SUM(BI156:BI167)+SUM(BJ156:BJ167)+SUM(BL156:BL167)+SUM(BM156:BM167)+SUM(BN156:BN167)</f>
        <v>143761.98028332926</v>
      </c>
      <c r="BS168" s="8">
        <f>SUM(BO156:BO167)</f>
        <v>3535.139404296875</v>
      </c>
    </row>
    <row r="169" spans="18:71" x14ac:dyDescent="0.25">
      <c r="R169" s="56">
        <v>40878</v>
      </c>
      <c r="S169" s="8">
        <v>43.570604801177986</v>
      </c>
      <c r="T169" s="8">
        <v>24434.533852577202</v>
      </c>
      <c r="U169" s="8">
        <v>0</v>
      </c>
      <c r="V169" s="8">
        <v>2.726424641907216</v>
      </c>
      <c r="BF169" s="56">
        <v>40878</v>
      </c>
      <c r="BG169" s="8">
        <v>43.570604801177986</v>
      </c>
      <c r="BH169" s="8">
        <v>24434.533852577202</v>
      </c>
      <c r="BI169" s="8">
        <v>0</v>
      </c>
      <c r="BJ169" s="8">
        <v>2.726424641907216</v>
      </c>
      <c r="BK169" s="8">
        <v>2664.0477981567383</v>
      </c>
      <c r="BL169" s="8">
        <v>19304.570220947266</v>
      </c>
      <c r="BM169" s="8">
        <v>100.75</v>
      </c>
      <c r="BN169" s="8">
        <v>34421.42582654953</v>
      </c>
      <c r="BO169" s="8">
        <v>3695.7046813964857</v>
      </c>
      <c r="BQ169" s="8">
        <f>SUM(BG164:BG172)+SUM(BK164:BK172)</f>
        <v>28628.727625057571</v>
      </c>
      <c r="BR169" s="8">
        <f>SUM(BH168:BH172)+SUM(BI168:BI172)+SUM(BJ168:BJ172)+SUM(BL168:BL172)+SUM(BM168:BM172)+SUM(BN168:BN172)+SUM(BO168:BO172)</f>
        <v>135173.04687730223</v>
      </c>
    </row>
    <row r="170" spans="18:71" x14ac:dyDescent="0.25">
      <c r="R170" s="56">
        <v>40909</v>
      </c>
      <c r="S170" s="8">
        <v>0</v>
      </c>
      <c r="T170" s="8">
        <v>900.46966938674393</v>
      </c>
      <c r="U170" s="8">
        <v>0</v>
      </c>
      <c r="V170" s="8">
        <v>125.04035556316381</v>
      </c>
      <c r="BF170" s="56">
        <v>40909</v>
      </c>
      <c r="BG170" s="8">
        <v>0</v>
      </c>
      <c r="BH170" s="8">
        <v>900.46966938674393</v>
      </c>
      <c r="BI170" s="8">
        <v>0</v>
      </c>
      <c r="BJ170" s="8">
        <v>125.04035556316381</v>
      </c>
      <c r="BK170" s="8">
        <v>0</v>
      </c>
      <c r="BL170" s="8">
        <v>0</v>
      </c>
      <c r="BM170" s="8">
        <v>0</v>
      </c>
      <c r="BN170" s="8">
        <v>2396.659164905549</v>
      </c>
      <c r="BO170" s="8">
        <v>0</v>
      </c>
    </row>
    <row r="171" spans="18:71" x14ac:dyDescent="0.25">
      <c r="R171" s="56">
        <v>40940</v>
      </c>
      <c r="S171" s="8">
        <v>0</v>
      </c>
      <c r="T171" s="8">
        <v>6338.0029907226581</v>
      </c>
      <c r="U171" s="8">
        <v>0</v>
      </c>
      <c r="V171" s="8">
        <v>30.11135101318358</v>
      </c>
      <c r="BF171" s="56">
        <v>40940</v>
      </c>
      <c r="BG171" s="8">
        <v>0</v>
      </c>
      <c r="BH171" s="8">
        <v>6338.0029907226581</v>
      </c>
      <c r="BI171" s="8">
        <v>0</v>
      </c>
      <c r="BJ171" s="8">
        <v>30.11135101318358</v>
      </c>
      <c r="BK171" s="8">
        <v>0</v>
      </c>
      <c r="BL171" s="8">
        <v>10879.316406250011</v>
      </c>
      <c r="BM171" s="8">
        <v>0</v>
      </c>
      <c r="BN171" s="8">
        <v>18883.278485298157</v>
      </c>
      <c r="BO171" s="8">
        <v>854.14720153808537</v>
      </c>
    </row>
    <row r="172" spans="18:71" x14ac:dyDescent="0.25">
      <c r="R172" s="56">
        <v>40969</v>
      </c>
      <c r="S172" s="8">
        <v>0</v>
      </c>
      <c r="T172" s="8">
        <v>0</v>
      </c>
      <c r="U172" s="8">
        <v>0</v>
      </c>
      <c r="V172" s="8">
        <v>183.6710739135743</v>
      </c>
      <c r="BF172" s="56">
        <v>40969</v>
      </c>
      <c r="BG172" s="8">
        <v>0</v>
      </c>
      <c r="BH172" s="8">
        <v>0</v>
      </c>
      <c r="BI172" s="8">
        <v>0</v>
      </c>
      <c r="BJ172" s="8">
        <v>183.6710739135743</v>
      </c>
      <c r="BK172" s="8">
        <v>0</v>
      </c>
      <c r="BL172" s="8">
        <v>0</v>
      </c>
      <c r="BM172" s="8">
        <v>0</v>
      </c>
      <c r="BN172" s="8">
        <v>1102.2553746402268</v>
      </c>
      <c r="BO172" s="8">
        <v>0</v>
      </c>
    </row>
    <row r="173" spans="18:71" x14ac:dyDescent="0.25">
      <c r="R173" s="56">
        <v>41000</v>
      </c>
      <c r="S173" s="8">
        <v>0</v>
      </c>
      <c r="T173" s="8">
        <v>0</v>
      </c>
      <c r="U173" s="8">
        <v>0</v>
      </c>
      <c r="V173" s="8">
        <v>0</v>
      </c>
      <c r="BF173" s="56">
        <v>41000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</row>
    <row r="174" spans="18:71" x14ac:dyDescent="0.25">
      <c r="R174" s="56">
        <v>41030</v>
      </c>
      <c r="S174" s="8">
        <v>0</v>
      </c>
      <c r="T174" s="8">
        <v>0</v>
      </c>
      <c r="U174" s="8">
        <v>0</v>
      </c>
      <c r="V174" s="8">
        <v>0</v>
      </c>
      <c r="BF174" s="56">
        <v>41030</v>
      </c>
      <c r="BG174" s="8">
        <v>0</v>
      </c>
      <c r="BH174" s="8">
        <v>0</v>
      </c>
      <c r="BI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</row>
    <row r="175" spans="18:71" x14ac:dyDescent="0.25">
      <c r="R175" s="56">
        <v>41061</v>
      </c>
      <c r="S175" s="8">
        <v>0</v>
      </c>
      <c r="T175" s="8">
        <v>0</v>
      </c>
      <c r="U175" s="8">
        <v>0</v>
      </c>
      <c r="V175" s="8">
        <v>0</v>
      </c>
      <c r="BF175" s="56">
        <v>41061</v>
      </c>
      <c r="BG175" s="8">
        <v>0</v>
      </c>
      <c r="BH175" s="8">
        <v>0</v>
      </c>
      <c r="BI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</row>
    <row r="176" spans="18:71" x14ac:dyDescent="0.25">
      <c r="R176" s="56">
        <v>41091</v>
      </c>
      <c r="S176" s="8">
        <v>0</v>
      </c>
      <c r="T176" s="8">
        <v>2629.3310356140132</v>
      </c>
      <c r="U176" s="8">
        <v>0</v>
      </c>
      <c r="V176" s="8">
        <v>969.91999998688675</v>
      </c>
      <c r="BF176" s="56">
        <v>41091</v>
      </c>
      <c r="BG176" s="8">
        <v>0</v>
      </c>
      <c r="BH176" s="8">
        <v>2629.3310356140132</v>
      </c>
      <c r="BI176" s="8">
        <v>0</v>
      </c>
      <c r="BJ176" s="8">
        <v>969.91999998688675</v>
      </c>
      <c r="BK176" s="8">
        <v>0</v>
      </c>
      <c r="BL176" s="8">
        <v>5093.1168785095233</v>
      </c>
      <c r="BM176" s="8">
        <v>0</v>
      </c>
      <c r="BN176" s="8">
        <v>4853.4253797531137</v>
      </c>
      <c r="BO176" s="8">
        <v>0</v>
      </c>
    </row>
    <row r="177" spans="18:71" x14ac:dyDescent="0.25">
      <c r="R177" s="56">
        <v>41122</v>
      </c>
      <c r="S177" s="8">
        <v>0</v>
      </c>
      <c r="T177" s="8">
        <v>0</v>
      </c>
      <c r="U177" s="8">
        <v>0</v>
      </c>
      <c r="V177" s="8">
        <v>1965.9811531901346</v>
      </c>
      <c r="BF177" s="56">
        <v>41122</v>
      </c>
      <c r="BG177" s="8">
        <v>0</v>
      </c>
      <c r="BH177" s="8">
        <v>0</v>
      </c>
      <c r="BI177" s="8">
        <v>0</v>
      </c>
      <c r="BJ177" s="8">
        <v>1965.9811531901346</v>
      </c>
      <c r="BK177" s="8">
        <v>0</v>
      </c>
      <c r="BL177" s="8">
        <v>0</v>
      </c>
      <c r="BM177" s="8">
        <v>0</v>
      </c>
      <c r="BN177" s="8">
        <v>290.86122179031361</v>
      </c>
      <c r="BO177" s="8">
        <v>0</v>
      </c>
    </row>
    <row r="178" spans="18:71" x14ac:dyDescent="0.25">
      <c r="R178" s="56">
        <v>41153</v>
      </c>
      <c r="S178" s="8">
        <v>0</v>
      </c>
      <c r="T178" s="8">
        <v>0</v>
      </c>
      <c r="U178" s="8">
        <v>0</v>
      </c>
      <c r="V178" s="8">
        <v>0</v>
      </c>
      <c r="BF178" s="56">
        <v>41153</v>
      </c>
      <c r="BG178" s="8">
        <v>0</v>
      </c>
      <c r="BH178" s="8">
        <v>0</v>
      </c>
      <c r="BI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1.4173787832260101</v>
      </c>
      <c r="BO178" s="8">
        <v>0</v>
      </c>
    </row>
    <row r="179" spans="18:71" x14ac:dyDescent="0.25">
      <c r="R179" s="56">
        <v>41183</v>
      </c>
      <c r="S179" s="8">
        <v>0</v>
      </c>
      <c r="T179" s="8">
        <v>0</v>
      </c>
      <c r="U179" s="8">
        <v>0</v>
      </c>
      <c r="V179" s="8">
        <v>0</v>
      </c>
      <c r="BF179" s="56">
        <v>41183</v>
      </c>
      <c r="BG179" s="8">
        <v>0</v>
      </c>
      <c r="BH179" s="8">
        <v>0</v>
      </c>
      <c r="BI179" s="8">
        <v>0</v>
      </c>
      <c r="BJ179" s="8">
        <v>0</v>
      </c>
      <c r="BK179" s="8">
        <v>5105.6331329345721</v>
      </c>
      <c r="BL179" s="8">
        <v>0</v>
      </c>
      <c r="BM179" s="8">
        <v>0</v>
      </c>
      <c r="BN179" s="8">
        <v>17.600790269672871</v>
      </c>
      <c r="BO179" s="8">
        <v>0</v>
      </c>
    </row>
    <row r="180" spans="18:71" x14ac:dyDescent="0.25">
      <c r="R180" s="56">
        <v>41214</v>
      </c>
      <c r="S180" s="8">
        <v>0</v>
      </c>
      <c r="T180" s="8">
        <v>0</v>
      </c>
      <c r="U180" s="8">
        <v>0</v>
      </c>
      <c r="V180" s="8">
        <v>0</v>
      </c>
      <c r="BF180" s="56">
        <v>41214</v>
      </c>
      <c r="BG180" s="8">
        <v>0</v>
      </c>
      <c r="BH180" s="8">
        <v>0</v>
      </c>
      <c r="BI180" s="8">
        <v>0</v>
      </c>
      <c r="BJ180" s="8">
        <v>0</v>
      </c>
      <c r="BK180" s="8">
        <v>10001.706783294678</v>
      </c>
      <c r="BL180" s="8">
        <v>0</v>
      </c>
      <c r="BM180" s="8">
        <v>0</v>
      </c>
      <c r="BN180" s="8">
        <v>2185.6468739435072</v>
      </c>
      <c r="BO180" s="8">
        <v>0</v>
      </c>
      <c r="BP180" s="56">
        <f>BF180</f>
        <v>41214</v>
      </c>
      <c r="BQ180" s="8">
        <f>SUM(BG176:BG180)+SUM(BK176:BK180)</f>
        <v>15107.33991622925</v>
      </c>
      <c r="BR180" s="8">
        <f>SUM(BH168:BH179)+SUM(BI168:BI179)+SUM(BJ168:BJ179)+SUM(BL168:BL179)+SUM(BM168:BM179)+SUM(BN168:BN179)</f>
        <v>146123.07335008681</v>
      </c>
      <c r="BS180" s="8">
        <f>SUM(BO168:BO179)</f>
        <v>4871.6273651123056</v>
      </c>
    </row>
    <row r="181" spans="18:71" x14ac:dyDescent="0.25">
      <c r="R181" s="56">
        <v>41244</v>
      </c>
      <c r="S181" s="8">
        <v>9320.4186286926251</v>
      </c>
      <c r="T181" s="8">
        <v>1790.4626464843711</v>
      </c>
      <c r="U181" s="8">
        <v>0</v>
      </c>
      <c r="V181" s="8">
        <v>2136.8597358465186</v>
      </c>
      <c r="BF181" s="56">
        <v>41244</v>
      </c>
      <c r="BG181" s="8">
        <v>9320.4186286926251</v>
      </c>
      <c r="BH181" s="8">
        <v>1790.4626464843711</v>
      </c>
      <c r="BI181" s="8">
        <v>0</v>
      </c>
      <c r="BJ181" s="8">
        <v>2136.8597358465186</v>
      </c>
      <c r="BK181" s="8">
        <v>21530.71656036377</v>
      </c>
      <c r="BL181" s="8">
        <v>895.53239440917991</v>
      </c>
      <c r="BM181" s="8">
        <v>0</v>
      </c>
      <c r="BN181" s="8">
        <v>16407.957861453295</v>
      </c>
      <c r="BO181" s="8">
        <v>0</v>
      </c>
      <c r="BQ181" s="8">
        <f>SUM(BG176:BG184)+SUM(BK176:BK184)</f>
        <v>89982.365523226559</v>
      </c>
      <c r="BR181" s="8">
        <f>SUM(BH180:BH184)+SUM(BI180:BI184)+SUM(BJ180:BJ184)+SUM(BL180:BL184)+SUM(BM180:BM184)+SUM(BN180:BN184)+SUM(BO180:BO184)</f>
        <v>248591.82685299963</v>
      </c>
    </row>
    <row r="182" spans="18:71" x14ac:dyDescent="0.25">
      <c r="R182" s="56">
        <v>41275</v>
      </c>
      <c r="S182" s="8">
        <v>14829.679550170898</v>
      </c>
      <c r="T182" s="8">
        <v>1666.7973632812495</v>
      </c>
      <c r="U182" s="8">
        <v>0</v>
      </c>
      <c r="V182" s="8">
        <v>1032.53955078125</v>
      </c>
      <c r="BF182" s="56">
        <v>41275</v>
      </c>
      <c r="BG182" s="8">
        <v>14829.679550170898</v>
      </c>
      <c r="BH182" s="8">
        <v>1666.7973632812495</v>
      </c>
      <c r="BI182" s="8">
        <v>0</v>
      </c>
      <c r="BJ182" s="8">
        <v>1032.53955078125</v>
      </c>
      <c r="BK182" s="8">
        <v>19896.140338897709</v>
      </c>
      <c r="BL182" s="8">
        <v>2157.8935432434077</v>
      </c>
      <c r="BM182" s="8">
        <v>471.00518798828102</v>
      </c>
      <c r="BN182" s="8">
        <v>15016.736960142855</v>
      </c>
      <c r="BO182" s="8">
        <v>2812.8417358398437</v>
      </c>
    </row>
    <row r="183" spans="18:71" x14ac:dyDescent="0.25">
      <c r="R183" s="56">
        <v>41306</v>
      </c>
      <c r="S183" s="8">
        <v>6109.3610839843768</v>
      </c>
      <c r="T183" s="8">
        <v>5374.2997894287219</v>
      </c>
      <c r="U183" s="8">
        <v>0</v>
      </c>
      <c r="V183" s="8">
        <v>2163.2524299621587</v>
      </c>
      <c r="BF183" s="56">
        <v>41306</v>
      </c>
      <c r="BG183" s="8">
        <v>6109.3610839843768</v>
      </c>
      <c r="BH183" s="8">
        <v>5374.2997894287219</v>
      </c>
      <c r="BI183" s="8">
        <v>0</v>
      </c>
      <c r="BJ183" s="8">
        <v>2163.2524299621587</v>
      </c>
      <c r="BK183" s="8">
        <v>2841.9174795150748</v>
      </c>
      <c r="BL183" s="8">
        <v>27577.677010536194</v>
      </c>
      <c r="BM183" s="8">
        <v>3787.19970703125</v>
      </c>
      <c r="BN183" s="8">
        <v>87785.573265880332</v>
      </c>
      <c r="BO183" s="8">
        <v>9667.4731159210205</v>
      </c>
    </row>
    <row r="184" spans="18:71" x14ac:dyDescent="0.25">
      <c r="R184" s="56">
        <v>41334</v>
      </c>
      <c r="S184" s="8">
        <v>346.79196537286077</v>
      </c>
      <c r="T184" s="8">
        <v>3624.608286857605</v>
      </c>
      <c r="U184" s="8">
        <v>0</v>
      </c>
      <c r="V184" s="8">
        <v>194.2888069152832</v>
      </c>
      <c r="BF184" s="56">
        <v>41334</v>
      </c>
      <c r="BG184" s="8">
        <v>346.79196537286077</v>
      </c>
      <c r="BH184" s="8">
        <v>3624.608286857605</v>
      </c>
      <c r="BI184" s="8">
        <v>0</v>
      </c>
      <c r="BJ184" s="8">
        <v>194.2888069152832</v>
      </c>
      <c r="BK184" s="8">
        <v>0</v>
      </c>
      <c r="BL184" s="8">
        <v>12357.124954223629</v>
      </c>
      <c r="BM184" s="8">
        <v>0</v>
      </c>
      <c r="BN184" s="8">
        <v>43970.790801286697</v>
      </c>
      <c r="BO184" s="8">
        <v>5515.2648315429687</v>
      </c>
    </row>
    <row r="185" spans="18:71" x14ac:dyDescent="0.25">
      <c r="R185" s="56">
        <v>41365</v>
      </c>
      <c r="S185" s="8">
        <v>49.388484954833899</v>
      </c>
      <c r="T185" s="8">
        <v>0</v>
      </c>
      <c r="U185" s="8">
        <v>0</v>
      </c>
      <c r="V185" s="8">
        <v>185.28466796875</v>
      </c>
      <c r="BF185" s="56">
        <v>41365</v>
      </c>
      <c r="BG185" s="8">
        <v>49.388484954833899</v>
      </c>
      <c r="BH185" s="8">
        <v>0</v>
      </c>
      <c r="BI185" s="8">
        <v>0</v>
      </c>
      <c r="BJ185" s="8">
        <v>185.28466796875</v>
      </c>
      <c r="BK185" s="8">
        <v>0</v>
      </c>
      <c r="BL185" s="8">
        <v>0</v>
      </c>
      <c r="BM185" s="8">
        <v>0</v>
      </c>
      <c r="BN185" s="8">
        <v>1119.4091167449949</v>
      </c>
      <c r="BO185" s="8">
        <v>0</v>
      </c>
    </row>
    <row r="186" spans="18:71" x14ac:dyDescent="0.25">
      <c r="R186" s="56">
        <v>41395</v>
      </c>
      <c r="S186" s="8">
        <v>0</v>
      </c>
      <c r="T186" s="8">
        <v>0</v>
      </c>
      <c r="U186" s="8">
        <v>0</v>
      </c>
      <c r="V186" s="8">
        <v>0</v>
      </c>
      <c r="BF186" s="56">
        <v>41395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</row>
    <row r="187" spans="18:71" x14ac:dyDescent="0.25">
      <c r="R187" s="56">
        <v>41426</v>
      </c>
      <c r="S187" s="8">
        <v>225.80763149261495</v>
      </c>
      <c r="T187" s="8">
        <v>38.255409479141207</v>
      </c>
      <c r="U187" s="8">
        <v>0</v>
      </c>
      <c r="V187" s="8">
        <v>159.29150390625</v>
      </c>
      <c r="BF187" s="56">
        <v>41426</v>
      </c>
      <c r="BG187" s="8">
        <v>225.80763149261495</v>
      </c>
      <c r="BH187" s="8">
        <v>38.255409479141207</v>
      </c>
      <c r="BI187" s="8">
        <v>0</v>
      </c>
      <c r="BJ187" s="8">
        <v>159.29150390625</v>
      </c>
      <c r="BK187" s="8">
        <v>0</v>
      </c>
      <c r="BL187" s="8">
        <v>247.182731628418</v>
      </c>
      <c r="BM187" s="8">
        <v>0</v>
      </c>
      <c r="BN187" s="8">
        <v>4292.1381998062143</v>
      </c>
      <c r="BO187" s="8">
        <v>0</v>
      </c>
    </row>
    <row r="188" spans="18:71" x14ac:dyDescent="0.25">
      <c r="R188" s="56">
        <v>41456</v>
      </c>
      <c r="S188" s="8">
        <v>641.34561157226551</v>
      </c>
      <c r="T188" s="8">
        <v>44.086165904998815</v>
      </c>
      <c r="U188" s="8">
        <v>0</v>
      </c>
      <c r="V188" s="8">
        <v>3273.0051516536591</v>
      </c>
      <c r="BF188" s="56">
        <v>41456</v>
      </c>
      <c r="BG188" s="8">
        <v>641.34561157226551</v>
      </c>
      <c r="BH188" s="8">
        <v>44.086165904998815</v>
      </c>
      <c r="BI188" s="8">
        <v>0</v>
      </c>
      <c r="BJ188" s="8">
        <v>3273.0051516536591</v>
      </c>
      <c r="BK188" s="8">
        <v>0</v>
      </c>
      <c r="BL188" s="8">
        <v>0</v>
      </c>
      <c r="BM188" s="8">
        <v>0</v>
      </c>
      <c r="BN188" s="8">
        <v>552.8058900833131</v>
      </c>
      <c r="BO188" s="8">
        <v>0</v>
      </c>
    </row>
    <row r="189" spans="18:71" x14ac:dyDescent="0.25">
      <c r="R189" s="56">
        <v>41487</v>
      </c>
      <c r="S189" s="8">
        <v>606.80928421020576</v>
      </c>
      <c r="T189" s="8">
        <v>0</v>
      </c>
      <c r="U189" s="8">
        <v>0</v>
      </c>
      <c r="V189" s="8">
        <v>90.331220429390655</v>
      </c>
      <c r="BF189" s="56">
        <v>41487</v>
      </c>
      <c r="BG189" s="8">
        <v>606.80928421020576</v>
      </c>
      <c r="BH189" s="8">
        <v>0</v>
      </c>
      <c r="BI189" s="8">
        <v>0</v>
      </c>
      <c r="BJ189" s="8">
        <v>90.331220429390655</v>
      </c>
      <c r="BK189" s="8">
        <v>0</v>
      </c>
      <c r="BL189" s="8">
        <v>0</v>
      </c>
      <c r="BM189" s="8">
        <v>0</v>
      </c>
      <c r="BN189" s="8">
        <v>232.93826487660408</v>
      </c>
      <c r="BO189" s="8">
        <v>0</v>
      </c>
    </row>
    <row r="190" spans="18:71" x14ac:dyDescent="0.25">
      <c r="R190" s="56">
        <v>41518</v>
      </c>
      <c r="S190" s="8">
        <v>2074.325838840567</v>
      </c>
      <c r="T190" s="8">
        <v>38.032501220703082</v>
      </c>
      <c r="U190" s="8">
        <v>0</v>
      </c>
      <c r="V190" s="8">
        <v>0</v>
      </c>
      <c r="BF190" s="56">
        <v>41518</v>
      </c>
      <c r="BG190" s="8">
        <v>2074.325838840567</v>
      </c>
      <c r="BH190" s="8">
        <v>38.032501220703082</v>
      </c>
      <c r="BI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1.1575208306312561</v>
      </c>
      <c r="BO190" s="8">
        <v>0</v>
      </c>
    </row>
    <row r="191" spans="18:71" x14ac:dyDescent="0.25">
      <c r="R191" s="56">
        <v>41548</v>
      </c>
      <c r="S191" s="8">
        <v>2136.0586621165285</v>
      </c>
      <c r="T191" s="8">
        <v>0</v>
      </c>
      <c r="U191" s="8">
        <v>0</v>
      </c>
      <c r="V191" s="8">
        <v>0</v>
      </c>
      <c r="BF191" s="56">
        <v>41548</v>
      </c>
      <c r="BG191" s="8">
        <v>2136.0586621165285</v>
      </c>
      <c r="BH191" s="8">
        <v>0</v>
      </c>
      <c r="BI191" s="8">
        <v>0</v>
      </c>
      <c r="BJ191" s="8">
        <v>0</v>
      </c>
      <c r="BK191" s="8">
        <v>2678.3688201904301</v>
      </c>
      <c r="BL191" s="8">
        <v>0</v>
      </c>
      <c r="BM191" s="8">
        <v>0</v>
      </c>
      <c r="BN191" s="8">
        <v>11.560808897018436</v>
      </c>
      <c r="BO191" s="8">
        <v>0</v>
      </c>
    </row>
    <row r="192" spans="18:71" x14ac:dyDescent="0.25">
      <c r="R192" s="56">
        <v>41579</v>
      </c>
      <c r="S192" s="8">
        <v>3033.5708947181697</v>
      </c>
      <c r="T192" s="8">
        <v>0</v>
      </c>
      <c r="U192" s="8">
        <v>0</v>
      </c>
      <c r="V192" s="8">
        <v>74.509999990463214</v>
      </c>
      <c r="BF192" s="56">
        <v>41579</v>
      </c>
      <c r="BG192" s="8">
        <v>3033.5708947181697</v>
      </c>
      <c r="BH192" s="8">
        <v>0</v>
      </c>
      <c r="BI192" s="8">
        <v>0</v>
      </c>
      <c r="BJ192" s="8">
        <v>74.509999990463214</v>
      </c>
      <c r="BK192" s="8">
        <v>9415.0967903137225</v>
      </c>
      <c r="BL192" s="8">
        <v>0</v>
      </c>
      <c r="BM192" s="8">
        <v>0</v>
      </c>
      <c r="BN192" s="8">
        <v>69.201014310121607</v>
      </c>
      <c r="BO192" s="8">
        <v>0</v>
      </c>
      <c r="BP192" s="56">
        <f>BF192</f>
        <v>41579</v>
      </c>
      <c r="BQ192" s="8">
        <f>SUM(BG188:BG192)+SUM(BK188:BK192)</f>
        <v>20585.575901961889</v>
      </c>
      <c r="BR192" s="8">
        <f>SUM(BH180:BH191)+SUM(BI180:BI191)+SUM(BJ180:BJ191)+SUM(BL180:BL191)+SUM(BM180:BM191)+SUM(BN180:BN191)</f>
        <v>240881.72632312588</v>
      </c>
      <c r="BS192" s="8">
        <f>SUM(BO180:BO191)</f>
        <v>17995.579683303833</v>
      </c>
    </row>
    <row r="193" spans="18:70" x14ac:dyDescent="0.25">
      <c r="R193" s="56">
        <v>41609</v>
      </c>
      <c r="S193" s="8">
        <v>6466.1273198127765</v>
      </c>
      <c r="T193" s="8">
        <v>0</v>
      </c>
      <c r="U193" s="8">
        <v>0</v>
      </c>
      <c r="V193" s="8">
        <v>563.021739125252</v>
      </c>
      <c r="BF193" s="56">
        <v>41609</v>
      </c>
      <c r="BG193" s="8">
        <v>6466.1273198127765</v>
      </c>
      <c r="BH193" s="8">
        <v>0</v>
      </c>
      <c r="BI193" s="8">
        <v>0</v>
      </c>
      <c r="BJ193" s="8">
        <v>563.021739125252</v>
      </c>
      <c r="BK193" s="8">
        <v>17055.51173782349</v>
      </c>
      <c r="BL193" s="8">
        <v>0</v>
      </c>
      <c r="BM193" s="8">
        <v>0</v>
      </c>
      <c r="BN193" s="8">
        <v>8063.8324495553998</v>
      </c>
      <c r="BO193" s="8">
        <v>0</v>
      </c>
      <c r="BQ193" s="8">
        <f>SUM(BG188:BG196)+SUM(BK188:BK196)</f>
        <v>71447.367519675186</v>
      </c>
      <c r="BR193" s="8">
        <f>SUM(BH192:BH196)+SUM(BI192:BI196)+SUM(BJ192:BJ196)+SUM(BL192:BL196)+SUM(BM192:BM196)+SUM(BN192:BN196)+SUM(BO192:BO196)</f>
        <v>16924.05715671182</v>
      </c>
    </row>
    <row r="194" spans="18:70" x14ac:dyDescent="0.25">
      <c r="R194" s="56">
        <v>41640</v>
      </c>
      <c r="S194" s="8">
        <v>9806.9074269533157</v>
      </c>
      <c r="T194" s="8">
        <v>0</v>
      </c>
      <c r="U194" s="8">
        <v>0</v>
      </c>
      <c r="V194" s="8">
        <v>0</v>
      </c>
      <c r="BF194" s="56">
        <v>41640</v>
      </c>
      <c r="BG194" s="8">
        <v>9806.9074269533157</v>
      </c>
      <c r="BH194" s="8">
        <v>0</v>
      </c>
      <c r="BI194" s="8">
        <v>0</v>
      </c>
      <c r="BJ194" s="8">
        <v>0</v>
      </c>
      <c r="BK194" s="8">
        <v>9427.6121139526367</v>
      </c>
      <c r="BL194" s="8">
        <v>0</v>
      </c>
      <c r="BM194" s="8">
        <v>0</v>
      </c>
      <c r="BN194" s="8">
        <v>932.15253376960777</v>
      </c>
      <c r="BO194" s="8">
        <v>0</v>
      </c>
    </row>
    <row r="195" spans="18:70" x14ac:dyDescent="0.25">
      <c r="R195" s="56">
        <v>41671</v>
      </c>
      <c r="S195" s="8">
        <v>4470.3863105867049</v>
      </c>
      <c r="T195" s="8">
        <v>0</v>
      </c>
      <c r="U195" s="8">
        <v>0</v>
      </c>
      <c r="V195" s="8">
        <v>0</v>
      </c>
      <c r="BF195" s="56">
        <v>41671</v>
      </c>
      <c r="BG195" s="8">
        <v>4470.3863105867049</v>
      </c>
      <c r="BH195" s="8">
        <v>0</v>
      </c>
      <c r="BI195" s="8">
        <v>0</v>
      </c>
      <c r="BJ195" s="8">
        <v>0</v>
      </c>
      <c r="BK195" s="8">
        <v>2564.9637260437007</v>
      </c>
      <c r="BL195" s="8">
        <v>0</v>
      </c>
      <c r="BM195" s="8">
        <v>0</v>
      </c>
      <c r="BN195" s="8">
        <v>708.79351997375556</v>
      </c>
      <c r="BO195" s="8">
        <v>0</v>
      </c>
    </row>
    <row r="196" spans="18:70" x14ac:dyDescent="0.25">
      <c r="R196" s="56">
        <v>41699</v>
      </c>
      <c r="S196" s="8">
        <v>969.37799902015831</v>
      </c>
      <c r="T196" s="8">
        <v>1771.2267761230469</v>
      </c>
      <c r="U196" s="8">
        <v>0</v>
      </c>
      <c r="V196" s="8">
        <v>302.650146484375</v>
      </c>
      <c r="BF196" s="56">
        <v>41699</v>
      </c>
      <c r="BG196" s="8">
        <v>969.37799902015831</v>
      </c>
      <c r="BH196" s="8">
        <v>1771.2267761230469</v>
      </c>
      <c r="BI196" s="8">
        <v>0</v>
      </c>
      <c r="BJ196" s="8">
        <v>302.650146484375</v>
      </c>
      <c r="BK196" s="8">
        <v>100.9049835205078</v>
      </c>
      <c r="BL196" s="8">
        <v>391.26486778259329</v>
      </c>
      <c r="BM196" s="8">
        <v>0</v>
      </c>
      <c r="BN196" s="8">
        <v>2747.9996296167374</v>
      </c>
      <c r="BO196" s="8">
        <v>1299.4044799804687</v>
      </c>
    </row>
    <row r="197" spans="18:70" x14ac:dyDescent="0.25">
      <c r="R197" s="56">
        <v>41730</v>
      </c>
      <c r="S197" s="8">
        <v>0</v>
      </c>
      <c r="T197" s="8">
        <v>1853.9676132202194</v>
      </c>
      <c r="U197" s="8">
        <v>0</v>
      </c>
      <c r="V197" s="8">
        <v>2385.611328125</v>
      </c>
      <c r="BF197" s="56">
        <v>41730</v>
      </c>
      <c r="BG197" s="8">
        <v>0</v>
      </c>
      <c r="BH197" s="8">
        <v>1853.9676132202194</v>
      </c>
      <c r="BI197" s="8">
        <v>0</v>
      </c>
      <c r="BJ197" s="8">
        <v>2385.611328125</v>
      </c>
      <c r="BK197" s="8">
        <v>0</v>
      </c>
      <c r="BL197" s="8">
        <v>6753.6194992065466</v>
      </c>
      <c r="BM197" s="8">
        <v>211.11474609375</v>
      </c>
      <c r="BN197" s="8">
        <v>27842.232481479645</v>
      </c>
      <c r="BO197" s="8">
        <v>5094.3356323242197</v>
      </c>
    </row>
    <row r="198" spans="18:70" x14ac:dyDescent="0.25">
      <c r="R198" s="56">
        <v>41760</v>
      </c>
      <c r="S198" s="8">
        <v>0</v>
      </c>
      <c r="T198" s="8">
        <v>0</v>
      </c>
      <c r="U198" s="8">
        <v>0</v>
      </c>
      <c r="V198" s="8">
        <v>0</v>
      </c>
      <c r="BF198" s="56">
        <v>41760</v>
      </c>
      <c r="BG198" s="8">
        <v>0</v>
      </c>
      <c r="BH198" s="8">
        <v>0</v>
      </c>
      <c r="BI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</row>
    <row r="199" spans="18:70" x14ac:dyDescent="0.25">
      <c r="R199" s="56">
        <v>41791</v>
      </c>
      <c r="S199" s="8">
        <v>0</v>
      </c>
      <c r="T199" s="8">
        <v>0</v>
      </c>
      <c r="U199" s="8">
        <v>0</v>
      </c>
      <c r="V199" s="8">
        <v>0</v>
      </c>
      <c r="BF199" s="56">
        <v>41791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2"/>
  <sheetViews>
    <sheetView topLeftCell="BB4" workbookViewId="0">
      <selection activeCell="BS23" sqref="BS23"/>
    </sheetView>
  </sheetViews>
  <sheetFormatPr defaultRowHeight="15" x14ac:dyDescent="0.25"/>
  <cols>
    <col min="23" max="24" width="12" bestFit="1" customWidth="1"/>
    <col min="37" max="38" width="12" bestFit="1" customWidth="1"/>
    <col min="39" max="39" width="9.28515625" bestFit="1" customWidth="1"/>
    <col min="41" max="42" width="12" bestFit="1" customWidth="1"/>
    <col min="44" max="45" width="12" bestFit="1" customWidth="1"/>
    <col min="47" max="48" width="12" bestFit="1" customWidth="1"/>
    <col min="51" max="52" width="12" bestFit="1" customWidth="1"/>
    <col min="53" max="53" width="9.28515625" bestFit="1" customWidth="1"/>
    <col min="56" max="56" width="12" bestFit="1" customWidth="1"/>
    <col min="57" max="58" width="9.28515625" bestFit="1" customWidth="1"/>
    <col min="60" max="60" width="12" bestFit="1" customWidth="1"/>
    <col min="61" max="63" width="9.28515625" bestFit="1" customWidth="1"/>
    <col min="65" max="66" width="11" bestFit="1" customWidth="1"/>
    <col min="67" max="69" width="9.28515625" bestFit="1" customWidth="1"/>
  </cols>
  <sheetData>
    <row r="1" spans="1:60" x14ac:dyDescent="0.25">
      <c r="A1" s="23" t="s">
        <v>496</v>
      </c>
      <c r="R1" s="48" t="s">
        <v>225</v>
      </c>
      <c r="Z1" t="s">
        <v>317</v>
      </c>
      <c r="AB1">
        <v>9</v>
      </c>
      <c r="AC1" t="s">
        <v>319</v>
      </c>
      <c r="AE1">
        <v>12</v>
      </c>
      <c r="AF1" t="s">
        <v>320</v>
      </c>
    </row>
    <row r="2" spans="1:60" x14ac:dyDescent="0.25">
      <c r="R2" s="49" t="s">
        <v>312</v>
      </c>
      <c r="S2" t="s">
        <v>43</v>
      </c>
      <c r="T2" t="s">
        <v>313</v>
      </c>
      <c r="Z2" t="s">
        <v>318</v>
      </c>
      <c r="AB2">
        <v>150</v>
      </c>
      <c r="AC2" t="s">
        <v>136</v>
      </c>
    </row>
    <row r="3" spans="1:60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123</v>
      </c>
      <c r="O3" s="52" t="s">
        <v>316</v>
      </c>
      <c r="P3" s="2" t="s">
        <v>497</v>
      </c>
      <c r="Q3" s="56">
        <v>35735</v>
      </c>
      <c r="R3">
        <v>11438</v>
      </c>
      <c r="V3" t="s">
        <v>43</v>
      </c>
      <c r="W3" t="s">
        <v>315</v>
      </c>
      <c r="X3" t="s">
        <v>314</v>
      </c>
      <c r="Z3" t="s">
        <v>43</v>
      </c>
      <c r="AA3" t="s">
        <v>55</v>
      </c>
      <c r="AB3" t="s">
        <v>56</v>
      </c>
      <c r="AC3" t="s">
        <v>57</v>
      </c>
      <c r="AD3" t="s">
        <v>40</v>
      </c>
      <c r="AE3" t="s">
        <v>59</v>
      </c>
      <c r="AF3" t="s">
        <v>60</v>
      </c>
      <c r="AG3" t="s">
        <v>61</v>
      </c>
      <c r="AJ3" t="str">
        <f>Z3</f>
        <v>Plant in</v>
      </c>
      <c r="AK3" t="str">
        <f>AA3</f>
        <v>Start vol(ML)</v>
      </c>
      <c r="AL3" t="s">
        <v>321</v>
      </c>
      <c r="AM3" t="str">
        <f>Z3</f>
        <v>Plant in</v>
      </c>
      <c r="AN3" t="str">
        <f>AD3</f>
        <v>area (ha)</v>
      </c>
      <c r="AO3" t="s">
        <v>322</v>
      </c>
      <c r="AP3" t="s">
        <v>323</v>
      </c>
      <c r="AQ3" t="s">
        <v>327</v>
      </c>
      <c r="AR3" t="s">
        <v>329</v>
      </c>
      <c r="AX3" t="str">
        <f>AJ3</f>
        <v>Plant in</v>
      </c>
      <c r="AY3" t="str">
        <f>AK3</f>
        <v>Start vol(ML)</v>
      </c>
      <c r="AZ3" t="s">
        <v>331</v>
      </c>
      <c r="BA3" t="s">
        <v>321</v>
      </c>
      <c r="BB3" t="s">
        <v>568</v>
      </c>
      <c r="BC3" t="s">
        <v>570</v>
      </c>
      <c r="BD3" t="str">
        <f t="shared" ref="BD3:BD18" si="0">AM3</f>
        <v>Plant in</v>
      </c>
      <c r="BE3" t="str">
        <f t="shared" ref="BE3:BE18" si="1">AN3</f>
        <v>area (ha)</v>
      </c>
      <c r="BF3" t="s">
        <v>238</v>
      </c>
      <c r="BG3" t="s">
        <v>548</v>
      </c>
      <c r="BH3" t="s">
        <v>566</v>
      </c>
    </row>
    <row r="4" spans="1:60" x14ac:dyDescent="0.25">
      <c r="A4" s="38">
        <v>1999</v>
      </c>
      <c r="B4" s="11">
        <v>46.938910502867941</v>
      </c>
      <c r="C4" s="11">
        <v>41.747081738037821</v>
      </c>
      <c r="D4" s="11">
        <v>23.667315167675685</v>
      </c>
      <c r="E4" s="11">
        <v>53.395719936385696</v>
      </c>
      <c r="F4" s="11">
        <v>20.298054483614081</v>
      </c>
      <c r="G4" s="11">
        <v>19.353696478016182</v>
      </c>
      <c r="H4" s="11">
        <v>20.735797629746017</v>
      </c>
      <c r="I4" s="11">
        <v>15.893385215492101</v>
      </c>
      <c r="J4" s="11">
        <v>11.677431908099104</v>
      </c>
      <c r="K4" s="11">
        <v>38.300778073559478</v>
      </c>
      <c r="L4" s="11">
        <v>60.027626579373724</v>
      </c>
      <c r="M4" s="11">
        <v>172.50583651650277</v>
      </c>
      <c r="N4" s="11">
        <v>524.54163422937063</v>
      </c>
      <c r="O4" s="57">
        <f>M4+L4+B5+C5+D5</f>
        <v>383.44669284581676</v>
      </c>
      <c r="P4" s="11">
        <f>SUM(E4:K4)</f>
        <v>179.65486372491267</v>
      </c>
      <c r="Q4" s="56">
        <v>35765</v>
      </c>
      <c r="R4">
        <v>4950.8999999999996</v>
      </c>
      <c r="V4" s="56">
        <f>S26</f>
        <v>36434</v>
      </c>
      <c r="W4" s="8">
        <f>T26</f>
        <v>69192.036999999997</v>
      </c>
      <c r="X4" s="8">
        <v>12500</v>
      </c>
      <c r="Z4">
        <v>1998</v>
      </c>
      <c r="AA4" s="8">
        <f>T14</f>
        <v>91220.282999999996</v>
      </c>
      <c r="AD4" s="8">
        <v>12600</v>
      </c>
      <c r="AE4" s="8">
        <f>AD4*$AB$1</f>
        <v>113400</v>
      </c>
      <c r="AG4" s="8">
        <v>30000</v>
      </c>
      <c r="AJ4">
        <f>Z5</f>
        <v>1999</v>
      </c>
      <c r="AK4" s="8">
        <f>AA5</f>
        <v>99192.036999999997</v>
      </c>
      <c r="AL4" s="8">
        <f>AD4</f>
        <v>12600</v>
      </c>
      <c r="AM4">
        <f>Z5</f>
        <v>1999</v>
      </c>
      <c r="AN4" s="8">
        <f>AD5</f>
        <v>12500</v>
      </c>
      <c r="AO4" s="8">
        <f>($AL$20*AK4)+($AK$20*AL4)</f>
        <v>10235.815777167638</v>
      </c>
      <c r="AP4" s="8">
        <f>($AP$20*AK4)+($AO$20*AL4)</f>
        <v>10439.492101891312</v>
      </c>
      <c r="AQ4" s="8">
        <f t="array" ref="AQ4">($AS$20*AK4)+($AR$20*AL4)</f>
        <v>12099.847976666402</v>
      </c>
      <c r="AR4" s="8">
        <f>$AU$20*AK4</f>
        <v>7229.6799620102574</v>
      </c>
      <c r="AX4">
        <f t="shared" ref="AX4:AX18" si="2">AJ4</f>
        <v>1999</v>
      </c>
      <c r="AY4" s="8">
        <f t="shared" ref="AY4:AY18" si="3">AK4</f>
        <v>99192.036999999997</v>
      </c>
      <c r="AZ4" s="11">
        <f>P4-$P$21</f>
        <v>44.81947804695821</v>
      </c>
      <c r="BA4" s="8">
        <f>AL4</f>
        <v>12600</v>
      </c>
      <c r="BB4">
        <v>0</v>
      </c>
      <c r="BC4">
        <v>0</v>
      </c>
      <c r="BD4">
        <f t="shared" si="0"/>
        <v>1999</v>
      </c>
      <c r="BE4" s="8">
        <f t="shared" si="1"/>
        <v>12500</v>
      </c>
      <c r="BF4" s="8">
        <f t="shared" ref="BF4:BF18" si="4">($BF$20*AY4)+($BE$20*AZ4)+($BD$20*BA4)</f>
        <v>11981.176918254667</v>
      </c>
      <c r="BG4" s="8">
        <f t="shared" ref="BG4:BG18" si="5">($BK$20*AY4)+($BJ$20*AZ4)+($BI$20*BA4)+($BH$20*BB4)</f>
        <v>11949.625800403948</v>
      </c>
      <c r="BH4" s="8">
        <f>($BQ$20*AY4)+($BP$20*AZ4)+($BO$20*BA4)+($BN$20*BB4)+($BM$20*BC4)</f>
        <v>12585.080271008448</v>
      </c>
    </row>
    <row r="5" spans="1:60" x14ac:dyDescent="0.25">
      <c r="A5" s="38">
        <v>2000</v>
      </c>
      <c r="B5" s="11">
        <v>8.3280155729458958</v>
      </c>
      <c r="C5" s="11">
        <v>37.444357920249615</v>
      </c>
      <c r="D5" s="11">
        <v>105.14085625674474</v>
      </c>
      <c r="E5" s="11">
        <v>47.121789806083946</v>
      </c>
      <c r="F5" s="11">
        <v>85.323346208505598</v>
      </c>
      <c r="G5" s="11">
        <v>12.340856047455903</v>
      </c>
      <c r="H5" s="11">
        <v>10.264591439688717</v>
      </c>
      <c r="I5" s="11">
        <v>15.773540882748852</v>
      </c>
      <c r="J5" s="11">
        <v>1.8175097223849612</v>
      </c>
      <c r="K5" s="11">
        <v>41.690661530550351</v>
      </c>
      <c r="L5" s="11">
        <v>104.6712062553673</v>
      </c>
      <c r="M5" s="11">
        <v>8.8929961237925959</v>
      </c>
      <c r="N5" s="11">
        <v>478.80972776651856</v>
      </c>
      <c r="O5" s="57">
        <f t="shared" ref="O5:O19" si="6">M5+L5+B6+C6+D6</f>
        <v>186.01128403593131</v>
      </c>
      <c r="P5" s="11">
        <f t="shared" ref="P5:P21" si="7">SUM(E5:K5)</f>
        <v>214.33229563741833</v>
      </c>
      <c r="Q5" s="56">
        <v>35796</v>
      </c>
      <c r="R5" s="8">
        <v>18958</v>
      </c>
      <c r="V5" s="56">
        <f>S38</f>
        <v>36800</v>
      </c>
      <c r="W5" s="8">
        <f>T38</f>
        <v>63768.280900000005</v>
      </c>
      <c r="X5" s="8">
        <v>15307</v>
      </c>
      <c r="Z5">
        <f>Z4+1</f>
        <v>1999</v>
      </c>
      <c r="AA5" s="8">
        <f>IF(AG4&gt;0,AG4+W4,IF(-AG4&gt;W4,0,AG4+W4))</f>
        <v>99192.036999999997</v>
      </c>
      <c r="AB5" s="11">
        <f>O4</f>
        <v>383.44669284581676</v>
      </c>
      <c r="AC5" s="20">
        <f>(AB5-$AB$2)/100</f>
        <v>2.3344669284581676</v>
      </c>
      <c r="AD5" s="8">
        <f>X4</f>
        <v>12500</v>
      </c>
      <c r="AE5" s="8">
        <f t="shared" ref="AE5:AE6" si="8">AD5*$AB$1</f>
        <v>112500</v>
      </c>
      <c r="AF5" s="8">
        <f>AE5-(AD5*AC5)</f>
        <v>83319.163394272909</v>
      </c>
      <c r="AG5" s="8">
        <f>AA5-AF5</f>
        <v>15872.873605727087</v>
      </c>
      <c r="AH5" s="8"/>
      <c r="AJ5">
        <f t="shared" ref="AJ5:AJ18" si="9">Z6</f>
        <v>2000</v>
      </c>
      <c r="AK5" s="8">
        <f t="shared" ref="AK5:AK18" si="10">AA6</f>
        <v>79641.154505727085</v>
      </c>
      <c r="AL5" s="8">
        <f t="shared" ref="AL5:AL18" si="11">AD5</f>
        <v>12500</v>
      </c>
      <c r="AM5">
        <f t="shared" ref="AM5:AM18" si="12">Z6</f>
        <v>2000</v>
      </c>
      <c r="AN5" s="8">
        <f t="shared" ref="AN5:AN18" si="13">AD6</f>
        <v>15307</v>
      </c>
      <c r="AO5" s="8">
        <f t="shared" ref="AO5:AO18" si="14">($AL$20*AK5)+($AK$20*AL5)</f>
        <v>9255.7044507007413</v>
      </c>
      <c r="AP5" s="8">
        <f t="shared" ref="AP5:AP18" si="15">($AP$20*AK5)+($AO$20*AL5)</f>
        <v>9437.4571569885193</v>
      </c>
      <c r="AQ5" s="8">
        <f t="array" ref="AQ5">($AS$20*AK5)+($AR$20*AL5)</f>
        <v>10627.353347008977</v>
      </c>
      <c r="AR5" s="8">
        <f t="shared" ref="AR5:AR18" si="16">$AU$20*AK5</f>
        <v>5804.7004204724426</v>
      </c>
      <c r="AX5">
        <f t="shared" si="2"/>
        <v>2000</v>
      </c>
      <c r="AY5" s="8">
        <f t="shared" si="3"/>
        <v>79641.154505727085</v>
      </c>
      <c r="AZ5" s="11">
        <f t="shared" ref="AZ5:AZ18" si="17">P5-$P$21</f>
        <v>79.496909959463864</v>
      </c>
      <c r="BA5" s="8">
        <f t="shared" ref="BA5:BA18" si="18">AL5</f>
        <v>12500</v>
      </c>
      <c r="BB5">
        <v>0</v>
      </c>
      <c r="BC5">
        <v>0</v>
      </c>
      <c r="BD5">
        <f t="shared" si="0"/>
        <v>2000</v>
      </c>
      <c r="BE5" s="8">
        <f t="shared" si="1"/>
        <v>15307</v>
      </c>
      <c r="BF5" s="8">
        <f t="shared" si="4"/>
        <v>12538.315040389005</v>
      </c>
      <c r="BG5" s="8">
        <f t="shared" si="5"/>
        <v>13177.093522821</v>
      </c>
      <c r="BH5" s="8">
        <f t="shared" ref="BH5:BH18" si="19">($BQ$20*AY5)+($BP$20*AZ5)+($BO$20*BA5)+($BN$20*BB5)+($BM$20*BC5)</f>
        <v>12948.066927800452</v>
      </c>
    </row>
    <row r="6" spans="1:60" x14ac:dyDescent="0.25">
      <c r="A6" s="38">
        <v>2001</v>
      </c>
      <c r="B6" s="11">
        <v>16.996498033694255</v>
      </c>
      <c r="C6" s="11">
        <v>39.270817092420529</v>
      </c>
      <c r="D6" s="11">
        <v>16.179766530656629</v>
      </c>
      <c r="E6" s="11">
        <v>2.4677042733834411</v>
      </c>
      <c r="F6" s="11">
        <v>12.663035030958717</v>
      </c>
      <c r="G6" s="11">
        <v>61.930739317422713</v>
      </c>
      <c r="H6" s="11">
        <v>13.147081710949019</v>
      </c>
      <c r="I6" s="11">
        <v>3.0073929923053844</v>
      </c>
      <c r="J6" s="11">
        <v>5.5665369590432725</v>
      </c>
      <c r="K6" s="11">
        <v>21.940077785388041</v>
      </c>
      <c r="L6" s="11">
        <v>24.74124514360836</v>
      </c>
      <c r="M6" s="11">
        <v>5.177431901605213</v>
      </c>
      <c r="N6" s="11">
        <v>223.08832677143559</v>
      </c>
      <c r="O6" s="57">
        <f t="shared" si="6"/>
        <v>101.99027241633097</v>
      </c>
      <c r="P6" s="11">
        <f t="shared" si="7"/>
        <v>120.7225680694506</v>
      </c>
      <c r="Q6" s="56">
        <v>35827</v>
      </c>
      <c r="R6" s="8">
        <v>1464.2</v>
      </c>
      <c r="V6" s="56">
        <f>S50</f>
        <v>37165</v>
      </c>
      <c r="W6" s="8">
        <f>T50</f>
        <v>104993.71</v>
      </c>
      <c r="X6" s="8">
        <v>12000</v>
      </c>
      <c r="Z6">
        <f t="shared" ref="Z6:Z19" si="20">Z5+1</f>
        <v>2000</v>
      </c>
      <c r="AA6" s="8">
        <f t="shared" ref="AA6:AA19" si="21">IF(AG5&gt;0,AG5+W5,IF(-AG5&gt;W5,0,AG5+W5))</f>
        <v>79641.154505727085</v>
      </c>
      <c r="AB6" s="11">
        <f t="shared" ref="AB6:AB19" si="22">O5</f>
        <v>186.01128403593131</v>
      </c>
      <c r="AC6" s="20">
        <f t="shared" ref="AC6:AC19" si="23">(AB6-$AB$2)/100</f>
        <v>0.36011284035931312</v>
      </c>
      <c r="AD6" s="8">
        <f t="shared" ref="AD6:AD19" si="24">X5</f>
        <v>15307</v>
      </c>
      <c r="AE6" s="8">
        <f t="shared" si="8"/>
        <v>137763</v>
      </c>
      <c r="AF6" s="8">
        <f t="shared" ref="AF6:AF19" si="25">AE6-(AD6*AC6)</f>
        <v>132250.75275262</v>
      </c>
      <c r="AG6" s="8">
        <f t="shared" ref="AG6:AG19" si="26">AA6-AF6</f>
        <v>-52609.598246892914</v>
      </c>
      <c r="AH6" s="8"/>
      <c r="AJ6">
        <f t="shared" si="9"/>
        <v>2001</v>
      </c>
      <c r="AK6" s="8">
        <f t="shared" si="10"/>
        <v>52384.111753107092</v>
      </c>
      <c r="AL6" s="8">
        <f t="shared" si="11"/>
        <v>15307</v>
      </c>
      <c r="AM6">
        <f t="shared" si="12"/>
        <v>2001</v>
      </c>
      <c r="AN6" s="8">
        <f t="shared" si="13"/>
        <v>12000</v>
      </c>
      <c r="AO6" s="8">
        <f t="shared" si="14"/>
        <v>9171.6677749819592</v>
      </c>
      <c r="AP6" s="8">
        <f t="shared" si="15"/>
        <v>9345.3802928375044</v>
      </c>
      <c r="AQ6" s="8">
        <f t="array" ref="AQ6">($AS$20*AK6)+($AR$20*AL6)</f>
        <v>9702.3575834998574</v>
      </c>
      <c r="AR6" s="8">
        <f t="shared" si="16"/>
        <v>3818.0520788089507</v>
      </c>
      <c r="AX6">
        <f t="shared" si="2"/>
        <v>2001</v>
      </c>
      <c r="AY6" s="8">
        <f t="shared" si="3"/>
        <v>52384.111753107092</v>
      </c>
      <c r="AZ6" s="11">
        <f t="shared" si="17"/>
        <v>-14.11281760850386</v>
      </c>
      <c r="BA6" s="8">
        <f t="shared" si="18"/>
        <v>15307</v>
      </c>
      <c r="BB6">
        <v>0</v>
      </c>
      <c r="BC6">
        <v>0</v>
      </c>
      <c r="BD6">
        <f t="shared" si="0"/>
        <v>2001</v>
      </c>
      <c r="BE6" s="8">
        <f t="shared" si="1"/>
        <v>12000</v>
      </c>
      <c r="BF6" s="8">
        <f t="shared" si="4"/>
        <v>9065.0620150077848</v>
      </c>
      <c r="BG6" s="8">
        <f t="shared" si="5"/>
        <v>9219.704820544137</v>
      </c>
      <c r="BH6" s="8">
        <f t="shared" si="19"/>
        <v>12100.566012030289</v>
      </c>
    </row>
    <row r="7" spans="1:60" x14ac:dyDescent="0.25">
      <c r="A7" s="38">
        <v>2002</v>
      </c>
      <c r="B7" s="11">
        <v>8.7891050471637957</v>
      </c>
      <c r="C7" s="11">
        <v>53.12023351350183</v>
      </c>
      <c r="D7" s="11">
        <v>10.16225681045176</v>
      </c>
      <c r="E7" s="11">
        <v>13.578599258155675</v>
      </c>
      <c r="F7" s="11">
        <v>2.2112840436080088</v>
      </c>
      <c r="G7" s="11">
        <v>9.2684825106817463</v>
      </c>
      <c r="H7" s="11">
        <v>0.63035019455252916</v>
      </c>
      <c r="I7" s="11">
        <v>7.7782101167315174</v>
      </c>
      <c r="J7" s="11">
        <v>13.859922178988327</v>
      </c>
      <c r="K7" s="11">
        <v>0.33073929961089493</v>
      </c>
      <c r="L7" s="11">
        <v>2.2879377431906613</v>
      </c>
      <c r="M7" s="11">
        <v>12.105058365758754</v>
      </c>
      <c r="N7" s="11">
        <v>134.12217908239552</v>
      </c>
      <c r="O7" s="57">
        <f t="shared" si="6"/>
        <v>89.821011673151745</v>
      </c>
      <c r="P7" s="11">
        <f t="shared" si="7"/>
        <v>47.657587602328704</v>
      </c>
      <c r="Q7" s="56">
        <v>35855</v>
      </c>
      <c r="R7" s="8">
        <v>13072</v>
      </c>
      <c r="V7" s="56">
        <f>S62</f>
        <v>37530</v>
      </c>
      <c r="W7" s="8">
        <f>T62</f>
        <v>32821.42</v>
      </c>
      <c r="X7" s="8">
        <v>0</v>
      </c>
      <c r="Z7">
        <f t="shared" si="20"/>
        <v>2001</v>
      </c>
      <c r="AA7" s="8">
        <f t="shared" si="21"/>
        <v>52384.111753107092</v>
      </c>
      <c r="AB7" s="11">
        <f t="shared" si="22"/>
        <v>101.99027241633097</v>
      </c>
      <c r="AC7" s="20">
        <f t="shared" si="23"/>
        <v>-0.48009727583669032</v>
      </c>
      <c r="AD7" s="8">
        <f t="shared" si="24"/>
        <v>12000</v>
      </c>
      <c r="AE7" s="8">
        <f>AD7*$AE$1</f>
        <v>144000</v>
      </c>
      <c r="AF7" s="8">
        <f t="shared" si="25"/>
        <v>149761.16731004027</v>
      </c>
      <c r="AG7" s="8">
        <f t="shared" si="26"/>
        <v>-97377.055556933177</v>
      </c>
      <c r="AH7" s="8"/>
      <c r="AJ7">
        <f t="shared" si="9"/>
        <v>2002</v>
      </c>
      <c r="AK7" s="8">
        <f t="shared" si="10"/>
        <v>0</v>
      </c>
      <c r="AL7" s="8">
        <f t="shared" si="11"/>
        <v>12000</v>
      </c>
      <c r="AM7">
        <f t="shared" si="12"/>
        <v>2002</v>
      </c>
      <c r="AN7" s="8">
        <f t="shared" si="13"/>
        <v>0</v>
      </c>
      <c r="AO7" s="8">
        <f t="shared" si="14"/>
        <v>5222.8656831557564</v>
      </c>
      <c r="AP7" s="8">
        <f t="shared" si="15"/>
        <v>5314.6035500911366</v>
      </c>
      <c r="AQ7" s="8">
        <f t="array" ref="AQ7">($AS$20*AK7)+($AR$20*AL7)</f>
        <v>4593.6332386684944</v>
      </c>
      <c r="AR7" s="8">
        <f t="shared" si="16"/>
        <v>0</v>
      </c>
      <c r="AX7">
        <f t="shared" si="2"/>
        <v>2002</v>
      </c>
      <c r="AY7" s="8">
        <f t="shared" si="3"/>
        <v>0</v>
      </c>
      <c r="AZ7" s="11">
        <f t="shared" si="17"/>
        <v>-87.177798075625759</v>
      </c>
      <c r="BA7" s="8">
        <f t="shared" si="18"/>
        <v>12000</v>
      </c>
      <c r="BB7">
        <v>0</v>
      </c>
      <c r="BC7">
        <v>1</v>
      </c>
      <c r="BD7">
        <f t="shared" si="0"/>
        <v>2002</v>
      </c>
      <c r="BE7" s="8">
        <f t="shared" si="1"/>
        <v>0</v>
      </c>
      <c r="BF7" s="8">
        <f t="shared" si="4"/>
        <v>2400.5055168317522</v>
      </c>
      <c r="BG7" s="8">
        <f t="shared" si="5"/>
        <v>2240.1312106090891</v>
      </c>
      <c r="BH7" s="8">
        <f t="shared" si="19"/>
        <v>423.12550275530066</v>
      </c>
    </row>
    <row r="8" spans="1:60" x14ac:dyDescent="0.25">
      <c r="A8" s="38">
        <v>2003</v>
      </c>
      <c r="B8" s="11">
        <v>8.6770428015564196</v>
      </c>
      <c r="C8" s="11">
        <v>57.941634241245133</v>
      </c>
      <c r="D8" s="11">
        <v>8.8093385214007789</v>
      </c>
      <c r="E8" s="11">
        <v>43.217898832684824</v>
      </c>
      <c r="F8" s="11">
        <v>11.817120622568094</v>
      </c>
      <c r="G8" s="11">
        <v>19.038910505836576</v>
      </c>
      <c r="H8" s="11">
        <v>18.708560231130875</v>
      </c>
      <c r="I8" s="11">
        <v>32.738910548881798</v>
      </c>
      <c r="J8" s="11">
        <v>0.86108949374595967</v>
      </c>
      <c r="K8" s="11">
        <v>13.447470809699032</v>
      </c>
      <c r="L8" s="11">
        <v>13.31128403741562</v>
      </c>
      <c r="M8" s="11">
        <v>25.595719812445139</v>
      </c>
      <c r="N8" s="11">
        <v>254.16498045861027</v>
      </c>
      <c r="O8" s="57">
        <f t="shared" si="6"/>
        <v>107.38093387060127</v>
      </c>
      <c r="P8" s="11">
        <f t="shared" si="7"/>
        <v>139.82996104454719</v>
      </c>
      <c r="Q8" s="56">
        <v>35886</v>
      </c>
      <c r="R8" s="8">
        <v>91.015000000000001</v>
      </c>
      <c r="V8" s="56">
        <f>S74</f>
        <v>37895</v>
      </c>
      <c r="W8" s="8">
        <f>T74</f>
        <v>45742.759999999995</v>
      </c>
      <c r="X8" s="8">
        <v>662.9</v>
      </c>
      <c r="Z8">
        <f t="shared" si="20"/>
        <v>2002</v>
      </c>
      <c r="AA8" s="8">
        <f t="shared" si="21"/>
        <v>0</v>
      </c>
      <c r="AB8" s="11">
        <f t="shared" si="22"/>
        <v>89.821011673151745</v>
      </c>
      <c r="AC8" s="20">
        <f t="shared" si="23"/>
        <v>-0.60178988326848259</v>
      </c>
      <c r="AD8" s="8">
        <f t="shared" si="24"/>
        <v>0</v>
      </c>
      <c r="AE8" s="8">
        <f t="shared" ref="AE8:AE19" si="27">AD8*$AE$1</f>
        <v>0</v>
      </c>
      <c r="AF8" s="8">
        <f t="shared" si="25"/>
        <v>0</v>
      </c>
      <c r="AG8" s="8">
        <f t="shared" si="26"/>
        <v>0</v>
      </c>
      <c r="AH8" s="8"/>
      <c r="AJ8">
        <f t="shared" si="9"/>
        <v>2003</v>
      </c>
      <c r="AK8" s="8">
        <f t="shared" si="10"/>
        <v>45742.759999999995</v>
      </c>
      <c r="AL8" s="8">
        <f t="shared" si="11"/>
        <v>0</v>
      </c>
      <c r="AM8">
        <f t="shared" si="12"/>
        <v>2003</v>
      </c>
      <c r="AN8" s="8">
        <f t="shared" si="13"/>
        <v>662.9</v>
      </c>
      <c r="AO8" s="8">
        <f t="shared" si="14"/>
        <v>2191.3125795523429</v>
      </c>
      <c r="AP8" s="8">
        <f t="shared" si="15"/>
        <v>2240.8181345987941</v>
      </c>
      <c r="AQ8" s="8">
        <f t="array" ref="AQ8">($AS$20*AK8)+($AR$20*AL8)</f>
        <v>3355.5990601390645</v>
      </c>
      <c r="AR8" s="8">
        <f t="shared" si="16"/>
        <v>3333.9925802617026</v>
      </c>
      <c r="AX8">
        <f t="shared" si="2"/>
        <v>2003</v>
      </c>
      <c r="AY8" s="8">
        <f t="shared" si="3"/>
        <v>45742.759999999995</v>
      </c>
      <c r="AZ8" s="11">
        <f t="shared" si="17"/>
        <v>4.9945753665927271</v>
      </c>
      <c r="BA8" s="8">
        <f t="shared" si="18"/>
        <v>0</v>
      </c>
      <c r="BB8">
        <v>0</v>
      </c>
      <c r="BC8">
        <v>0</v>
      </c>
      <c r="BD8">
        <f t="shared" si="0"/>
        <v>2003</v>
      </c>
      <c r="BE8" s="8">
        <f t="shared" si="1"/>
        <v>662.9</v>
      </c>
      <c r="BF8" s="8">
        <f t="shared" si="4"/>
        <v>2039.0013559806625</v>
      </c>
      <c r="BG8" s="8">
        <f t="shared" si="5"/>
        <v>1439.7845982002723</v>
      </c>
      <c r="BH8" s="8">
        <f t="shared" si="19"/>
        <v>1120.0899881523351</v>
      </c>
    </row>
    <row r="9" spans="1:60" x14ac:dyDescent="0.25">
      <c r="A9" s="38">
        <v>2004</v>
      </c>
      <c r="B9" s="11">
        <v>27.977431928137396</v>
      </c>
      <c r="C9" s="11">
        <v>31.071984465484025</v>
      </c>
      <c r="D9" s="11">
        <v>9.4245136271191008</v>
      </c>
      <c r="E9" s="11">
        <v>43.760311356778274</v>
      </c>
      <c r="F9" s="11">
        <v>15.622568093385214</v>
      </c>
      <c r="G9" s="11">
        <v>28.627626456175332</v>
      </c>
      <c r="H9" s="11">
        <v>21.338521400778209</v>
      </c>
      <c r="I9" s="11">
        <v>12.739299610894941</v>
      </c>
      <c r="J9" s="11">
        <v>4.7431906614785992</v>
      </c>
      <c r="K9" s="11">
        <v>9.299610894941635</v>
      </c>
      <c r="L9" s="11">
        <v>31.677042801556421</v>
      </c>
      <c r="M9" s="11">
        <v>51.774319066147861</v>
      </c>
      <c r="N9" s="11">
        <v>288.05642036287696</v>
      </c>
      <c r="O9" s="57">
        <f t="shared" si="6"/>
        <v>97.396887159533065</v>
      </c>
      <c r="P9" s="11">
        <f t="shared" si="7"/>
        <v>136.13112847443219</v>
      </c>
      <c r="Q9" s="56">
        <v>35916</v>
      </c>
      <c r="R9" s="8">
        <v>391.38</v>
      </c>
      <c r="V9" s="56">
        <f>S86</f>
        <v>38261</v>
      </c>
      <c r="W9" s="8">
        <f>T86</f>
        <v>86121.5</v>
      </c>
      <c r="X9" s="8">
        <v>11104.199999999999</v>
      </c>
      <c r="Z9">
        <f t="shared" si="20"/>
        <v>2003</v>
      </c>
      <c r="AA9" s="8">
        <f t="shared" si="21"/>
        <v>45742.759999999995</v>
      </c>
      <c r="AB9" s="11">
        <f t="shared" si="22"/>
        <v>107.38093387060127</v>
      </c>
      <c r="AC9" s="20">
        <f t="shared" si="23"/>
        <v>-0.42619066129398731</v>
      </c>
      <c r="AD9" s="8">
        <f t="shared" si="24"/>
        <v>662.9</v>
      </c>
      <c r="AE9" s="8">
        <f t="shared" si="27"/>
        <v>7954.7999999999993</v>
      </c>
      <c r="AF9" s="8">
        <f t="shared" si="25"/>
        <v>8237.3217893717829</v>
      </c>
      <c r="AG9" s="8">
        <f t="shared" si="26"/>
        <v>37505.438210628214</v>
      </c>
      <c r="AH9" s="8"/>
      <c r="AJ9">
        <f t="shared" si="9"/>
        <v>2004</v>
      </c>
      <c r="AK9" s="8">
        <f t="shared" si="10"/>
        <v>123626.93821062821</v>
      </c>
      <c r="AL9" s="8">
        <f t="shared" si="11"/>
        <v>662.9</v>
      </c>
      <c r="AM9">
        <f t="shared" si="12"/>
        <v>2004</v>
      </c>
      <c r="AN9" s="8">
        <f t="shared" si="13"/>
        <v>11104.199999999999</v>
      </c>
      <c r="AO9" s="8">
        <f t="shared" si="14"/>
        <v>6210.8835818619355</v>
      </c>
      <c r="AP9" s="8">
        <f t="shared" si="15"/>
        <v>6349.7478128079611</v>
      </c>
      <c r="AQ9" s="8">
        <f t="array" ref="AQ9">($AS$20*AK9)+($AR$20*AL9)</f>
        <v>9322.7894084149339</v>
      </c>
      <c r="AR9" s="8">
        <f t="shared" si="16"/>
        <v>9010.6345728746255</v>
      </c>
      <c r="AX9">
        <f t="shared" si="2"/>
        <v>2004</v>
      </c>
      <c r="AY9" s="8">
        <f t="shared" si="3"/>
        <v>123626.93821062821</v>
      </c>
      <c r="AZ9" s="11">
        <f t="shared" si="17"/>
        <v>1.2957427964777253</v>
      </c>
      <c r="BA9" s="8">
        <f t="shared" si="18"/>
        <v>662.9</v>
      </c>
      <c r="BB9">
        <v>1</v>
      </c>
      <c r="BC9">
        <v>0</v>
      </c>
      <c r="BD9">
        <f t="shared" si="0"/>
        <v>2004</v>
      </c>
      <c r="BE9" s="8">
        <f t="shared" si="1"/>
        <v>11104.199999999999</v>
      </c>
      <c r="BF9" s="8">
        <f t="shared" si="4"/>
        <v>5346.7805543799268</v>
      </c>
      <c r="BG9" s="8">
        <f t="shared" si="5"/>
        <v>11104.2</v>
      </c>
      <c r="BH9" s="8">
        <f t="shared" si="19"/>
        <v>11104.199999999997</v>
      </c>
    </row>
    <row r="10" spans="1:60" x14ac:dyDescent="0.25">
      <c r="A10" s="38">
        <v>2005</v>
      </c>
      <c r="B10" s="11">
        <v>6.7743190661478598</v>
      </c>
      <c r="C10" s="11">
        <v>5.9377431906614788</v>
      </c>
      <c r="D10" s="11">
        <v>1.2334630350194553</v>
      </c>
      <c r="E10" s="11">
        <v>0</v>
      </c>
      <c r="F10" s="11">
        <v>3.7665369649805447</v>
      </c>
      <c r="G10" s="11">
        <v>112.10505836575875</v>
      </c>
      <c r="H10" s="11">
        <v>2.5319066024475987</v>
      </c>
      <c r="I10" s="11">
        <v>19.194552521761288</v>
      </c>
      <c r="J10" s="11">
        <v>34.563035111482968</v>
      </c>
      <c r="K10" s="11">
        <v>11.558754843032778</v>
      </c>
      <c r="L10" s="11">
        <v>17.100778219764798</v>
      </c>
      <c r="M10" s="11">
        <v>1.5824902736027417</v>
      </c>
      <c r="N10" s="11">
        <v>216.34863819466028</v>
      </c>
      <c r="O10" s="57">
        <f t="shared" si="6"/>
        <v>60.24552532183985</v>
      </c>
      <c r="P10" s="11">
        <f t="shared" si="7"/>
        <v>183.71984440946395</v>
      </c>
      <c r="Q10" s="56">
        <v>35947</v>
      </c>
      <c r="R10" s="8">
        <v>97.688000000000002</v>
      </c>
      <c r="V10" s="56">
        <f>S98</f>
        <v>38626</v>
      </c>
      <c r="W10" s="8">
        <f>T98</f>
        <v>98597.92</v>
      </c>
      <c r="X10" s="8">
        <v>9446.9999999999982</v>
      </c>
      <c r="Z10">
        <f t="shared" si="20"/>
        <v>2004</v>
      </c>
      <c r="AA10" s="8">
        <f t="shared" si="21"/>
        <v>123626.93821062821</v>
      </c>
      <c r="AB10" s="11">
        <f t="shared" si="22"/>
        <v>97.396887159533065</v>
      </c>
      <c r="AC10" s="20">
        <f t="shared" si="23"/>
        <v>-0.52603112840466937</v>
      </c>
      <c r="AD10" s="8">
        <f t="shared" si="24"/>
        <v>11104.199999999999</v>
      </c>
      <c r="AE10" s="8">
        <f t="shared" si="27"/>
        <v>133250.4</v>
      </c>
      <c r="AF10" s="8">
        <f t="shared" si="25"/>
        <v>139091.55485603111</v>
      </c>
      <c r="AG10" s="8">
        <f t="shared" si="26"/>
        <v>-15464.616645402901</v>
      </c>
      <c r="AH10" s="8"/>
      <c r="AJ10">
        <f t="shared" si="9"/>
        <v>2005</v>
      </c>
      <c r="AK10" s="8">
        <f t="shared" si="10"/>
        <v>83133.303354597097</v>
      </c>
      <c r="AL10" s="8">
        <f t="shared" si="11"/>
        <v>11104.199999999999</v>
      </c>
      <c r="AM10">
        <f t="shared" si="12"/>
        <v>2005</v>
      </c>
      <c r="AN10" s="8">
        <f t="shared" si="13"/>
        <v>9446.9999999999982</v>
      </c>
      <c r="AO10" s="8">
        <f t="shared" si="14"/>
        <v>8815.4899468297717</v>
      </c>
      <c r="AP10" s="8">
        <f t="shared" si="15"/>
        <v>8990.3514229064604</v>
      </c>
      <c r="AQ10" s="8">
        <f t="array" ref="AQ10">($AS$20*AK10)+($AR$20*AL10)</f>
        <v>10349.214423703605</v>
      </c>
      <c r="AR10" s="8">
        <f t="shared" si="16"/>
        <v>6059.2280954816033</v>
      </c>
      <c r="AX10">
        <f t="shared" si="2"/>
        <v>2005</v>
      </c>
      <c r="AY10" s="8">
        <f t="shared" si="3"/>
        <v>83133.303354597097</v>
      </c>
      <c r="AZ10" s="11">
        <f t="shared" si="17"/>
        <v>48.884458731509483</v>
      </c>
      <c r="BA10" s="8">
        <f t="shared" si="18"/>
        <v>11104.199999999999</v>
      </c>
      <c r="BB10">
        <v>0</v>
      </c>
      <c r="BC10">
        <v>0</v>
      </c>
      <c r="BD10">
        <f t="shared" si="0"/>
        <v>2005</v>
      </c>
      <c r="BE10" s="8">
        <f t="shared" si="1"/>
        <v>9446.9999999999982</v>
      </c>
      <c r="BF10" s="8">
        <f t="shared" si="4"/>
        <v>10763.469424820094</v>
      </c>
      <c r="BG10" s="8">
        <f t="shared" si="5"/>
        <v>10904.512360109577</v>
      </c>
      <c r="BH10" s="8">
        <f t="shared" si="19"/>
        <v>11231.249615363238</v>
      </c>
    </row>
    <row r="11" spans="1:60" x14ac:dyDescent="0.25">
      <c r="A11" s="38">
        <v>2006</v>
      </c>
      <c r="B11" s="11">
        <v>12.064980543193187</v>
      </c>
      <c r="C11" s="11">
        <v>18.999610943089198</v>
      </c>
      <c r="D11" s="11">
        <v>10.497665342189922</v>
      </c>
      <c r="E11" s="11">
        <v>1.5159533102688623</v>
      </c>
      <c r="F11" s="11">
        <v>0.11673151924916278</v>
      </c>
      <c r="G11" s="11">
        <v>42.023346459355338</v>
      </c>
      <c r="H11" s="11">
        <v>36.41828798227273</v>
      </c>
      <c r="I11" s="11">
        <v>5.4470817388727504</v>
      </c>
      <c r="J11" s="11">
        <v>3.6245136151401911</v>
      </c>
      <c r="K11" s="11">
        <v>0.87509728023050359</v>
      </c>
      <c r="L11" s="11">
        <v>5.3486381521020885</v>
      </c>
      <c r="M11" s="11">
        <v>25.236575816855819</v>
      </c>
      <c r="N11" s="11">
        <v>162.1684827028198</v>
      </c>
      <c r="O11" s="57">
        <f t="shared" si="6"/>
        <v>98.898443667109376</v>
      </c>
      <c r="P11" s="11">
        <f t="shared" si="7"/>
        <v>90.021011905389543</v>
      </c>
      <c r="Q11" s="56">
        <v>35977</v>
      </c>
      <c r="R11" s="8">
        <v>22541</v>
      </c>
      <c r="V11" s="56">
        <f>S110</f>
        <v>38991</v>
      </c>
      <c r="W11" s="8">
        <f>T110</f>
        <v>34372.550000000003</v>
      </c>
      <c r="X11" s="8">
        <v>13.400000000000002</v>
      </c>
      <c r="Z11">
        <f t="shared" si="20"/>
        <v>2005</v>
      </c>
      <c r="AA11" s="8">
        <f t="shared" si="21"/>
        <v>83133.303354597097</v>
      </c>
      <c r="AB11" s="11">
        <f t="shared" si="22"/>
        <v>60.24552532183985</v>
      </c>
      <c r="AC11" s="20">
        <f t="shared" si="23"/>
        <v>-0.89754474678160145</v>
      </c>
      <c r="AD11" s="8">
        <f t="shared" si="24"/>
        <v>9446.9999999999982</v>
      </c>
      <c r="AE11" s="8">
        <f t="shared" si="27"/>
        <v>113363.99999999997</v>
      </c>
      <c r="AF11" s="8">
        <f t="shared" si="25"/>
        <v>121843.10522284576</v>
      </c>
      <c r="AG11" s="8">
        <f t="shared" si="26"/>
        <v>-38709.801868248658</v>
      </c>
      <c r="AH11" s="8"/>
      <c r="AJ11">
        <f t="shared" si="9"/>
        <v>2006</v>
      </c>
      <c r="AK11" s="8">
        <f t="shared" si="10"/>
        <v>0</v>
      </c>
      <c r="AL11" s="8">
        <f t="shared" si="11"/>
        <v>9446.9999999999982</v>
      </c>
      <c r="AM11">
        <f t="shared" si="12"/>
        <v>2006</v>
      </c>
      <c r="AN11" s="8">
        <f t="shared" si="13"/>
        <v>13.400000000000002</v>
      </c>
      <c r="AO11" s="8">
        <f t="shared" si="14"/>
        <v>4111.701009064368</v>
      </c>
      <c r="AP11" s="8">
        <f t="shared" si="15"/>
        <v>4183.9216448092466</v>
      </c>
      <c r="AQ11" s="8">
        <f t="array" ref="AQ11">($AS$20*AK11)+($AR$20*AL11)</f>
        <v>3616.3377671417716</v>
      </c>
      <c r="AR11" s="8">
        <f t="shared" si="16"/>
        <v>0</v>
      </c>
      <c r="AX11">
        <f t="shared" si="2"/>
        <v>2006</v>
      </c>
      <c r="AY11" s="8">
        <f t="shared" si="3"/>
        <v>0</v>
      </c>
      <c r="AZ11" s="11">
        <f t="shared" si="17"/>
        <v>-44.81437377256492</v>
      </c>
      <c r="BA11" s="8">
        <f t="shared" si="18"/>
        <v>9446.9999999999982</v>
      </c>
      <c r="BB11">
        <v>0</v>
      </c>
      <c r="BC11">
        <v>1</v>
      </c>
      <c r="BD11">
        <f t="shared" si="0"/>
        <v>2006</v>
      </c>
      <c r="BE11" s="8">
        <f t="shared" si="1"/>
        <v>13.400000000000002</v>
      </c>
      <c r="BF11" s="8">
        <f t="shared" si="4"/>
        <v>2845.8860983551494</v>
      </c>
      <c r="BG11" s="8">
        <f t="shared" si="5"/>
        <v>2992.1314647408417</v>
      </c>
      <c r="BH11" s="8">
        <f t="shared" si="19"/>
        <v>-409.7255027552992</v>
      </c>
    </row>
    <row r="12" spans="1:60" x14ac:dyDescent="0.25">
      <c r="A12" s="38">
        <v>2007</v>
      </c>
      <c r="B12" s="11">
        <v>35.535797757397368</v>
      </c>
      <c r="C12" s="11">
        <v>10.676264607025027</v>
      </c>
      <c r="D12" s="11">
        <v>22.101167333729073</v>
      </c>
      <c r="E12" s="11">
        <v>13.00155645956789</v>
      </c>
      <c r="F12" s="11">
        <v>75.114396700135458</v>
      </c>
      <c r="G12" s="11">
        <v>5.6968871599737305</v>
      </c>
      <c r="H12" s="11">
        <v>8.5603112840466927E-2</v>
      </c>
      <c r="I12" s="11">
        <v>1.3206225657973307</v>
      </c>
      <c r="J12" s="11">
        <v>0.12840466926070038</v>
      </c>
      <c r="K12" s="11">
        <v>18.575875486381324</v>
      </c>
      <c r="L12" s="11">
        <v>33.708171206225678</v>
      </c>
      <c r="M12" s="11">
        <v>81.517509727626461</v>
      </c>
      <c r="N12" s="11">
        <v>297.46225678596051</v>
      </c>
      <c r="O12" s="57">
        <f t="shared" si="6"/>
        <v>287.93385214007787</v>
      </c>
      <c r="P12" s="11">
        <f t="shared" si="7"/>
        <v>113.92334615395691</v>
      </c>
      <c r="Q12" s="56">
        <v>36008</v>
      </c>
      <c r="R12" s="8">
        <v>7039.8</v>
      </c>
      <c r="V12" s="56">
        <f>S122</f>
        <v>39356</v>
      </c>
      <c r="W12" s="8">
        <f>T122</f>
        <v>4450.8470000000007</v>
      </c>
      <c r="X12" s="8">
        <v>125.01</v>
      </c>
      <c r="Z12">
        <f t="shared" si="20"/>
        <v>2006</v>
      </c>
      <c r="AA12" s="8">
        <f t="shared" si="21"/>
        <v>0</v>
      </c>
      <c r="AB12" s="11">
        <f t="shared" si="22"/>
        <v>98.898443667109376</v>
      </c>
      <c r="AC12" s="20">
        <f t="shared" si="23"/>
        <v>-0.51101556332890619</v>
      </c>
      <c r="AD12" s="8">
        <f t="shared" si="24"/>
        <v>13.400000000000002</v>
      </c>
      <c r="AE12" s="8">
        <f t="shared" si="27"/>
        <v>160.80000000000001</v>
      </c>
      <c r="AF12" s="8">
        <f t="shared" si="25"/>
        <v>167.64760854860737</v>
      </c>
      <c r="AG12" s="8">
        <f t="shared" si="26"/>
        <v>-167.64760854860737</v>
      </c>
      <c r="AH12" s="8"/>
      <c r="AJ12">
        <f t="shared" si="9"/>
        <v>2007</v>
      </c>
      <c r="AK12" s="8">
        <f t="shared" si="10"/>
        <v>4283.1993914513932</v>
      </c>
      <c r="AL12" s="8">
        <f t="shared" si="11"/>
        <v>13.400000000000002</v>
      </c>
      <c r="AM12">
        <f t="shared" si="12"/>
        <v>2007</v>
      </c>
      <c r="AN12" s="8">
        <f t="shared" si="13"/>
        <v>125.01</v>
      </c>
      <c r="AO12" s="8">
        <f t="shared" si="14"/>
        <v>211.01939700793099</v>
      </c>
      <c r="AP12" s="8">
        <f t="shared" si="15"/>
        <v>215.75737258822849</v>
      </c>
      <c r="AQ12" s="8">
        <f t="array" ref="AQ12">($AS$20*AK12)+($AR$20*AL12)</f>
        <v>319.33665464063517</v>
      </c>
      <c r="AR12" s="8">
        <f t="shared" si="16"/>
        <v>312.18393885459443</v>
      </c>
      <c r="AX12">
        <f t="shared" si="2"/>
        <v>2007</v>
      </c>
      <c r="AY12" s="8">
        <f t="shared" si="3"/>
        <v>4283.1993914513932</v>
      </c>
      <c r="AZ12" s="11">
        <f t="shared" si="17"/>
        <v>-20.912039523997549</v>
      </c>
      <c r="BA12" s="8">
        <f t="shared" si="18"/>
        <v>13.400000000000002</v>
      </c>
      <c r="BB12">
        <v>0</v>
      </c>
      <c r="BC12">
        <v>0</v>
      </c>
      <c r="BD12">
        <f t="shared" si="0"/>
        <v>2007</v>
      </c>
      <c r="BE12" s="8">
        <f t="shared" si="1"/>
        <v>125.01</v>
      </c>
      <c r="BF12" s="8">
        <f t="shared" si="4"/>
        <v>-660.75763726333309</v>
      </c>
      <c r="BG12" s="8">
        <f t="shared" si="5"/>
        <v>-960.5523065395306</v>
      </c>
      <c r="BH12" s="8">
        <f t="shared" si="19"/>
        <v>-416.98835269673174</v>
      </c>
    </row>
    <row r="13" spans="1:60" x14ac:dyDescent="0.25">
      <c r="A13" s="38">
        <v>2008</v>
      </c>
      <c r="B13" s="11">
        <v>77.548638132295721</v>
      </c>
      <c r="C13" s="11">
        <v>65.159533073929964</v>
      </c>
      <c r="D13" s="11">
        <v>30</v>
      </c>
      <c r="E13" s="11">
        <v>0.94941634241245132</v>
      </c>
      <c r="F13" s="11">
        <v>4.3463035019455249</v>
      </c>
      <c r="G13" s="11">
        <v>37.688715953307394</v>
      </c>
      <c r="H13" s="11">
        <v>8.7964980750696213</v>
      </c>
      <c r="I13" s="11">
        <v>14.652529185848014</v>
      </c>
      <c r="J13" s="11">
        <v>14.144357998547386</v>
      </c>
      <c r="K13" s="11">
        <v>17.05291827643428</v>
      </c>
      <c r="L13" s="11">
        <v>42.081322911184586</v>
      </c>
      <c r="M13" s="11">
        <v>27.754863746435262</v>
      </c>
      <c r="N13" s="11">
        <v>340.17509719741025</v>
      </c>
      <c r="O13" s="57">
        <f t="shared" si="6"/>
        <v>247.62529151170637</v>
      </c>
      <c r="P13" s="11">
        <f t="shared" si="7"/>
        <v>97.630739333564676</v>
      </c>
      <c r="Q13" s="56">
        <v>36039</v>
      </c>
      <c r="R13" s="8">
        <v>6470.3</v>
      </c>
      <c r="V13" s="56">
        <f>S134</f>
        <v>39722</v>
      </c>
      <c r="W13" s="8">
        <f>T134</f>
        <v>95011.758000000002</v>
      </c>
      <c r="X13" s="8">
        <v>1579.9300000000003</v>
      </c>
      <c r="Z13">
        <f t="shared" si="20"/>
        <v>2007</v>
      </c>
      <c r="AA13" s="8">
        <f t="shared" si="21"/>
        <v>4283.1993914513932</v>
      </c>
      <c r="AB13" s="11">
        <f t="shared" si="22"/>
        <v>287.93385214007787</v>
      </c>
      <c r="AC13" s="20">
        <f t="shared" si="23"/>
        <v>1.3793385214007787</v>
      </c>
      <c r="AD13" s="8">
        <f t="shared" si="24"/>
        <v>125.01</v>
      </c>
      <c r="AE13" s="8">
        <f t="shared" si="27"/>
        <v>1500.1200000000001</v>
      </c>
      <c r="AF13" s="8">
        <f t="shared" si="25"/>
        <v>1327.6888914396889</v>
      </c>
      <c r="AG13" s="8">
        <f t="shared" si="26"/>
        <v>2955.5105000117046</v>
      </c>
      <c r="AH13" s="8"/>
      <c r="AJ13">
        <f t="shared" si="9"/>
        <v>2008</v>
      </c>
      <c r="AK13" s="8">
        <f t="shared" si="10"/>
        <v>97967.268500011705</v>
      </c>
      <c r="AL13" s="8">
        <f t="shared" si="11"/>
        <v>125.01</v>
      </c>
      <c r="AM13">
        <f t="shared" si="12"/>
        <v>2008</v>
      </c>
      <c r="AN13" s="8">
        <f t="shared" si="13"/>
        <v>1579.9300000000003</v>
      </c>
      <c r="AO13" s="8">
        <f t="shared" si="14"/>
        <v>4747.5433265222555</v>
      </c>
      <c r="AP13" s="8">
        <f t="shared" si="15"/>
        <v>4854.5250523533541</v>
      </c>
      <c r="AQ13" s="8">
        <f t="array" ref="AQ13">($AS$20*AK13)+($AR$20*AL13)</f>
        <v>7234.5406379365659</v>
      </c>
      <c r="AR13" s="8">
        <f t="shared" si="16"/>
        <v>7140.4118659990145</v>
      </c>
      <c r="AX13">
        <f t="shared" si="2"/>
        <v>2008</v>
      </c>
      <c r="AY13" s="8">
        <f t="shared" si="3"/>
        <v>97967.268500011705</v>
      </c>
      <c r="AZ13" s="11">
        <f t="shared" si="17"/>
        <v>-37.204646344389786</v>
      </c>
      <c r="BA13" s="8">
        <f t="shared" si="18"/>
        <v>125.01</v>
      </c>
      <c r="BB13">
        <v>0</v>
      </c>
      <c r="BC13">
        <v>0</v>
      </c>
      <c r="BD13">
        <f t="shared" si="0"/>
        <v>2008</v>
      </c>
      <c r="BE13" s="8">
        <f t="shared" si="1"/>
        <v>1579.9300000000003</v>
      </c>
      <c r="BF13" s="8">
        <f t="shared" si="4"/>
        <v>2505.426049719691</v>
      </c>
      <c r="BG13" s="8">
        <f t="shared" si="5"/>
        <v>682.72792253289663</v>
      </c>
      <c r="BH13" s="8">
        <f t="shared" si="19"/>
        <v>1299.8315118597134</v>
      </c>
    </row>
    <row r="14" spans="1:60" x14ac:dyDescent="0.25">
      <c r="A14" s="38">
        <v>2009</v>
      </c>
      <c r="B14" s="11">
        <v>29.464591490155527</v>
      </c>
      <c r="C14" s="11">
        <v>124.68054448584175</v>
      </c>
      <c r="D14" s="11">
        <v>23.643968878089222</v>
      </c>
      <c r="E14" s="11">
        <v>11.126069998462841</v>
      </c>
      <c r="F14" s="11">
        <v>34.070038873397884</v>
      </c>
      <c r="G14" s="11">
        <v>48.640466905289585</v>
      </c>
      <c r="H14" s="11">
        <v>10.305447467106326</v>
      </c>
      <c r="I14" s="11">
        <v>1.2027237400238615</v>
      </c>
      <c r="J14" s="11">
        <v>16.076653699466689</v>
      </c>
      <c r="K14" s="11">
        <v>21.670428045992722</v>
      </c>
      <c r="L14" s="11">
        <v>5.7704280155642023</v>
      </c>
      <c r="M14" s="11">
        <v>64.528015485533487</v>
      </c>
      <c r="N14" s="11">
        <v>391.17937708492417</v>
      </c>
      <c r="O14" s="57">
        <f t="shared" si="6"/>
        <v>267.36770402040003</v>
      </c>
      <c r="P14" s="11">
        <f t="shared" si="7"/>
        <v>143.09182872973989</v>
      </c>
      <c r="Q14" s="56">
        <v>36069</v>
      </c>
      <c r="R14" s="8">
        <v>4706</v>
      </c>
      <c r="S14" s="56">
        <f>Q14</f>
        <v>36069</v>
      </c>
      <c r="T14" s="8">
        <f>SUM(R3:R14)</f>
        <v>91220.282999999996</v>
      </c>
      <c r="V14" s="56">
        <f>S146</f>
        <v>40087</v>
      </c>
      <c r="W14" s="8">
        <f>T146</f>
        <v>65714.758000000002</v>
      </c>
      <c r="X14" s="8">
        <v>5828.84</v>
      </c>
      <c r="Z14">
        <f t="shared" si="20"/>
        <v>2008</v>
      </c>
      <c r="AA14" s="8">
        <f t="shared" si="21"/>
        <v>97967.268500011705</v>
      </c>
      <c r="AB14" s="11">
        <f t="shared" si="22"/>
        <v>247.62529151170637</v>
      </c>
      <c r="AC14" s="20">
        <f t="shared" si="23"/>
        <v>0.97625291511706369</v>
      </c>
      <c r="AD14" s="8">
        <f t="shared" si="24"/>
        <v>1579.9300000000003</v>
      </c>
      <c r="AE14" s="8">
        <f t="shared" si="27"/>
        <v>18959.160000000003</v>
      </c>
      <c r="AF14" s="8">
        <f t="shared" si="25"/>
        <v>17416.748731819102</v>
      </c>
      <c r="AG14" s="8">
        <f t="shared" si="26"/>
        <v>80550.519768192607</v>
      </c>
      <c r="AH14" s="8"/>
      <c r="AJ14">
        <f t="shared" si="9"/>
        <v>2009</v>
      </c>
      <c r="AK14" s="8">
        <f t="shared" si="10"/>
        <v>146265.27776819261</v>
      </c>
      <c r="AL14" s="8">
        <f t="shared" si="11"/>
        <v>1579.9300000000003</v>
      </c>
      <c r="AM14">
        <f t="shared" si="12"/>
        <v>2009</v>
      </c>
      <c r="AN14" s="8">
        <f t="shared" si="13"/>
        <v>5828.84</v>
      </c>
      <c r="AO14" s="8">
        <f t="shared" si="14"/>
        <v>7694.5030835176367</v>
      </c>
      <c r="AP14" s="8">
        <f t="shared" si="15"/>
        <v>7864.878413003009</v>
      </c>
      <c r="AQ14" s="8">
        <f t="array" ref="AQ14">($AS$20*AK14)+($AR$20*AL14)</f>
        <v>11334.535173261174</v>
      </c>
      <c r="AR14" s="8">
        <f t="shared" si="16"/>
        <v>10660.645549789107</v>
      </c>
      <c r="AX14">
        <f t="shared" si="2"/>
        <v>2009</v>
      </c>
      <c r="AY14" s="8">
        <f t="shared" si="3"/>
        <v>146265.27776819261</v>
      </c>
      <c r="AZ14" s="11">
        <f t="shared" si="17"/>
        <v>8.2564430517854248</v>
      </c>
      <c r="BA14" s="8">
        <f t="shared" si="18"/>
        <v>1579.9300000000003</v>
      </c>
      <c r="BB14">
        <v>0</v>
      </c>
      <c r="BC14">
        <v>0</v>
      </c>
      <c r="BD14">
        <f t="shared" si="0"/>
        <v>2009</v>
      </c>
      <c r="BE14" s="8">
        <f t="shared" si="1"/>
        <v>5828.84</v>
      </c>
      <c r="BF14" s="8">
        <f t="shared" si="4"/>
        <v>6986.9824128157397</v>
      </c>
      <c r="BG14" s="8">
        <f t="shared" si="5"/>
        <v>5092.9004148216682</v>
      </c>
      <c r="BH14" s="8">
        <f t="shared" si="19"/>
        <v>4557.1804025277743</v>
      </c>
    </row>
    <row r="15" spans="1:60" x14ac:dyDescent="0.25">
      <c r="A15" s="38">
        <v>2010</v>
      </c>
      <c r="B15" s="11">
        <v>45.634630448159541</v>
      </c>
      <c r="C15" s="11">
        <v>99.160311123740343</v>
      </c>
      <c r="D15" s="11">
        <v>52.274318947402421</v>
      </c>
      <c r="E15" s="11">
        <v>38.353696585629237</v>
      </c>
      <c r="F15" s="11">
        <v>10.829182884224657</v>
      </c>
      <c r="G15" s="11">
        <v>9.5346303561318244</v>
      </c>
      <c r="H15" s="11">
        <v>35.49610896425952</v>
      </c>
      <c r="I15" s="11">
        <v>15.72373537887395</v>
      </c>
      <c r="J15" s="11">
        <v>34.70583656696958</v>
      </c>
      <c r="K15" s="11">
        <v>88.01867699530338</v>
      </c>
      <c r="L15" s="11">
        <v>94.788715763314684</v>
      </c>
      <c r="M15" s="11">
        <v>103.67081691875532</v>
      </c>
      <c r="N15" s="11">
        <v>628.19066093276444</v>
      </c>
      <c r="O15" s="57">
        <f t="shared" si="6"/>
        <v>321.20311253543963</v>
      </c>
      <c r="P15" s="11">
        <f t="shared" si="7"/>
        <v>232.66186773139214</v>
      </c>
      <c r="Q15" s="56">
        <v>36100</v>
      </c>
      <c r="R15" s="8">
        <v>5841.7</v>
      </c>
      <c r="V15" s="56">
        <f>S158</f>
        <v>40452</v>
      </c>
      <c r="W15" s="8">
        <f>T158</f>
        <v>97638.5</v>
      </c>
      <c r="X15" s="8">
        <v>9615.1399999999976</v>
      </c>
      <c r="Z15">
        <f t="shared" si="20"/>
        <v>2009</v>
      </c>
      <c r="AA15" s="8">
        <f t="shared" si="21"/>
        <v>146265.27776819261</v>
      </c>
      <c r="AB15" s="11">
        <f t="shared" si="22"/>
        <v>267.36770402040003</v>
      </c>
      <c r="AC15" s="20">
        <f t="shared" si="23"/>
        <v>1.1736770402040002</v>
      </c>
      <c r="AD15" s="8">
        <f t="shared" si="24"/>
        <v>5828.84</v>
      </c>
      <c r="AE15" s="8">
        <f t="shared" si="27"/>
        <v>69946.080000000002</v>
      </c>
      <c r="AF15" s="8">
        <f t="shared" si="25"/>
        <v>63104.904320977315</v>
      </c>
      <c r="AG15" s="8">
        <f t="shared" si="26"/>
        <v>83160.373447215301</v>
      </c>
      <c r="AH15" s="8"/>
      <c r="AJ15">
        <f t="shared" si="9"/>
        <v>2010</v>
      </c>
      <c r="AK15" s="8">
        <f t="shared" si="10"/>
        <v>180798.8734472153</v>
      </c>
      <c r="AL15" s="8">
        <f t="shared" si="11"/>
        <v>5828.84</v>
      </c>
      <c r="AM15">
        <f t="shared" si="12"/>
        <v>2010</v>
      </c>
      <c r="AN15" s="8">
        <f t="shared" si="13"/>
        <v>9615.1399999999976</v>
      </c>
      <c r="AO15" s="8">
        <f t="shared" si="14"/>
        <v>11198.12977802485</v>
      </c>
      <c r="AP15" s="8">
        <f t="shared" si="15"/>
        <v>11438.36159513806</v>
      </c>
      <c r="AQ15" s="8">
        <f t="array" ref="AQ15">($AS$20*AK15)+($AR$20*AL15)</f>
        <v>15494.346464416778</v>
      </c>
      <c r="AR15" s="8">
        <f t="shared" si="16"/>
        <v>13177.650465181603</v>
      </c>
      <c r="AX15">
        <f t="shared" si="2"/>
        <v>2010</v>
      </c>
      <c r="AY15" s="8">
        <f t="shared" si="3"/>
        <v>180798.8734472153</v>
      </c>
      <c r="AZ15" s="11">
        <f t="shared" si="17"/>
        <v>97.826482053437672</v>
      </c>
      <c r="BA15" s="8">
        <f t="shared" si="18"/>
        <v>5828.84</v>
      </c>
      <c r="BB15">
        <v>0</v>
      </c>
      <c r="BC15">
        <v>0</v>
      </c>
      <c r="BD15">
        <f t="shared" si="0"/>
        <v>2010</v>
      </c>
      <c r="BE15" s="8">
        <f t="shared" si="1"/>
        <v>9615.1399999999976</v>
      </c>
      <c r="BF15" s="8">
        <f t="shared" si="4"/>
        <v>14059.791784687626</v>
      </c>
      <c r="BG15" s="8">
        <f t="shared" si="5"/>
        <v>12991.415697990633</v>
      </c>
      <c r="BH15" s="8">
        <f t="shared" si="19"/>
        <v>10676.600341737838</v>
      </c>
    </row>
    <row r="16" spans="1:60" x14ac:dyDescent="0.25">
      <c r="A16" s="38">
        <v>2011</v>
      </c>
      <c r="B16" s="11">
        <v>39.377821072530189</v>
      </c>
      <c r="C16" s="11">
        <v>65.466926114568452</v>
      </c>
      <c r="D16" s="11">
        <v>17.898832666270927</v>
      </c>
      <c r="E16" s="11">
        <v>8.2778210157550269</v>
      </c>
      <c r="F16" s="11">
        <v>16.070428017048521</v>
      </c>
      <c r="G16" s="11">
        <v>6.8365758880103149</v>
      </c>
      <c r="H16" s="11">
        <v>21.566147845078998</v>
      </c>
      <c r="I16" s="11">
        <v>6.8424124365186874</v>
      </c>
      <c r="J16" s="11">
        <v>43.459143894655696</v>
      </c>
      <c r="K16" s="11">
        <v>11.735019501081236</v>
      </c>
      <c r="L16" s="11">
        <v>57.383268482490273</v>
      </c>
      <c r="M16" s="11">
        <v>81.858754688663709</v>
      </c>
      <c r="N16" s="11">
        <v>376.773151622672</v>
      </c>
      <c r="O16" s="57">
        <f t="shared" si="6"/>
        <v>434.34007774531148</v>
      </c>
      <c r="P16" s="11">
        <f t="shared" si="7"/>
        <v>114.78754859814848</v>
      </c>
      <c r="Q16" s="56">
        <v>36130</v>
      </c>
      <c r="R16" s="8">
        <v>15949</v>
      </c>
      <c r="V16" s="56">
        <f>S170</f>
        <v>40817</v>
      </c>
      <c r="W16" s="8">
        <f>T170</f>
        <v>58695.888000000006</v>
      </c>
      <c r="X16" s="8">
        <v>9398.9699999999993</v>
      </c>
      <c r="Z16">
        <f t="shared" si="20"/>
        <v>2010</v>
      </c>
      <c r="AA16" s="8">
        <f t="shared" si="21"/>
        <v>180798.8734472153</v>
      </c>
      <c r="AB16" s="11">
        <f t="shared" si="22"/>
        <v>321.20311253543963</v>
      </c>
      <c r="AC16" s="20">
        <f t="shared" si="23"/>
        <v>1.7120311253543963</v>
      </c>
      <c r="AD16" s="8">
        <f t="shared" si="24"/>
        <v>9615.1399999999976</v>
      </c>
      <c r="AE16" s="8">
        <f t="shared" si="27"/>
        <v>115381.67999999996</v>
      </c>
      <c r="AF16" s="8">
        <f t="shared" si="25"/>
        <v>98920.26104535989</v>
      </c>
      <c r="AG16" s="8">
        <f t="shared" si="26"/>
        <v>81878.612401855411</v>
      </c>
      <c r="AH16" s="8"/>
      <c r="AJ16">
        <f t="shared" si="9"/>
        <v>2011</v>
      </c>
      <c r="AK16" s="8">
        <f t="shared" si="10"/>
        <v>140574.50040185542</v>
      </c>
      <c r="AL16" s="8">
        <f t="shared" si="11"/>
        <v>9615.1399999999976</v>
      </c>
      <c r="AM16">
        <f t="shared" si="12"/>
        <v>2011</v>
      </c>
      <c r="AN16" s="8">
        <f t="shared" si="13"/>
        <v>9398.9699999999993</v>
      </c>
      <c r="AO16" s="8">
        <f t="shared" si="14"/>
        <v>10919.120903243635</v>
      </c>
      <c r="AP16" s="8">
        <f t="shared" si="15"/>
        <v>11144.765084710963</v>
      </c>
      <c r="AQ16" s="8">
        <f t="array" ref="AQ16">($AS$20*AK16)+($AR$20*AL16)</f>
        <v>13992.971563843566</v>
      </c>
      <c r="AR16" s="8">
        <f t="shared" si="16"/>
        <v>10245.86932038604</v>
      </c>
      <c r="AX16">
        <f t="shared" si="2"/>
        <v>2011</v>
      </c>
      <c r="AY16" s="8">
        <f t="shared" si="3"/>
        <v>140574.50040185542</v>
      </c>
      <c r="AZ16" s="11">
        <f t="shared" si="17"/>
        <v>-20.047837079805987</v>
      </c>
      <c r="BA16" s="8">
        <f t="shared" si="18"/>
        <v>9615.1399999999976</v>
      </c>
      <c r="BB16">
        <v>0</v>
      </c>
      <c r="BC16">
        <v>0</v>
      </c>
      <c r="BD16">
        <f t="shared" si="0"/>
        <v>2011</v>
      </c>
      <c r="BE16" s="8">
        <f t="shared" si="1"/>
        <v>9398.9699999999993</v>
      </c>
      <c r="BF16" s="8">
        <f t="shared" si="4"/>
        <v>9572.7763663953738</v>
      </c>
      <c r="BG16" s="8">
        <f t="shared" si="5"/>
        <v>7997.0177375972708</v>
      </c>
      <c r="BH16" s="8">
        <f t="shared" si="19"/>
        <v>9666.9182142185527</v>
      </c>
    </row>
    <row r="17" spans="1:72" x14ac:dyDescent="0.25">
      <c r="A17" s="38">
        <v>2012</v>
      </c>
      <c r="B17" s="11">
        <v>137.58754857875957</v>
      </c>
      <c r="C17" s="11">
        <v>68.715175161101939</v>
      </c>
      <c r="D17" s="11">
        <v>88.795330834295967</v>
      </c>
      <c r="E17" s="11">
        <v>1.019844356214026</v>
      </c>
      <c r="F17" s="11">
        <v>15.142412452846186</v>
      </c>
      <c r="G17" s="11">
        <v>28.756420246821897</v>
      </c>
      <c r="H17" s="11">
        <v>23.155642008503122</v>
      </c>
      <c r="I17" s="11">
        <v>0.72140078437931343</v>
      </c>
      <c r="J17" s="11">
        <v>14.647859948154553</v>
      </c>
      <c r="K17" s="11">
        <v>2.0505836622260425</v>
      </c>
      <c r="L17" s="11">
        <v>34.23190664595667</v>
      </c>
      <c r="M17" s="11">
        <v>2.865758758574608</v>
      </c>
      <c r="N17" s="11">
        <v>417.68988343783388</v>
      </c>
      <c r="O17" s="57">
        <f t="shared" si="6"/>
        <v>96.409338595802225</v>
      </c>
      <c r="P17" s="11">
        <f t="shared" si="7"/>
        <v>85.494163459145142</v>
      </c>
      <c r="Q17" s="56">
        <v>36161</v>
      </c>
      <c r="R17" s="8">
        <v>6522.2</v>
      </c>
      <c r="V17" s="56">
        <f>S182</f>
        <v>41183</v>
      </c>
      <c r="W17" s="8">
        <f>T182</f>
        <v>60118.19999999999</v>
      </c>
      <c r="X17" s="8">
        <v>8291.3700000000008</v>
      </c>
      <c r="Z17">
        <f t="shared" si="20"/>
        <v>2011</v>
      </c>
      <c r="AA17" s="8">
        <f t="shared" si="21"/>
        <v>140574.50040185542</v>
      </c>
      <c r="AB17" s="11">
        <f t="shared" si="22"/>
        <v>434.34007774531148</v>
      </c>
      <c r="AC17" s="20">
        <f t="shared" si="23"/>
        <v>2.8434007774531147</v>
      </c>
      <c r="AD17" s="8">
        <f t="shared" si="24"/>
        <v>9398.9699999999993</v>
      </c>
      <c r="AE17" s="8">
        <f t="shared" si="27"/>
        <v>112787.63999999998</v>
      </c>
      <c r="AF17" s="8">
        <f t="shared" si="25"/>
        <v>86062.60139474149</v>
      </c>
      <c r="AG17" s="8">
        <f t="shared" si="26"/>
        <v>54511.899007113927</v>
      </c>
      <c r="AH17" s="8"/>
      <c r="AJ17">
        <f t="shared" si="9"/>
        <v>2012</v>
      </c>
      <c r="AK17" s="8">
        <f t="shared" si="10"/>
        <v>114630.09900711392</v>
      </c>
      <c r="AL17" s="8">
        <f t="shared" si="11"/>
        <v>9398.9699999999993</v>
      </c>
      <c r="AM17">
        <f t="shared" si="12"/>
        <v>2012</v>
      </c>
      <c r="AN17" s="8">
        <f t="shared" si="13"/>
        <v>8291.3700000000008</v>
      </c>
      <c r="AO17" s="8">
        <f t="shared" si="14"/>
        <v>9582.1655702990502</v>
      </c>
      <c r="AP17" s="8">
        <f t="shared" si="15"/>
        <v>9778.0785851788605</v>
      </c>
      <c r="AQ17" s="8">
        <f t="array" ref="AQ17">($AS$20*AK17)+($AR$20*AL17)</f>
        <v>12006.990743201914</v>
      </c>
      <c r="AR17" s="8">
        <f t="shared" si="16"/>
        <v>8354.8937485272472</v>
      </c>
      <c r="AX17">
        <f t="shared" si="2"/>
        <v>2012</v>
      </c>
      <c r="AY17" s="8">
        <f t="shared" si="3"/>
        <v>114630.09900711392</v>
      </c>
      <c r="AZ17" s="11">
        <f t="shared" si="17"/>
        <v>-49.341222218809321</v>
      </c>
      <c r="BA17" s="8">
        <f t="shared" si="18"/>
        <v>9398.9699999999993</v>
      </c>
      <c r="BB17">
        <v>0</v>
      </c>
      <c r="BC17">
        <v>0</v>
      </c>
      <c r="BD17">
        <f t="shared" si="0"/>
        <v>2012</v>
      </c>
      <c r="BE17" s="8">
        <f t="shared" si="1"/>
        <v>8291.3700000000008</v>
      </c>
      <c r="BF17" s="8">
        <f t="shared" si="4"/>
        <v>7247.7697097680702</v>
      </c>
      <c r="BG17" s="8">
        <f t="shared" si="5"/>
        <v>5694.041289496914</v>
      </c>
      <c r="BH17" s="8">
        <f t="shared" si="19"/>
        <v>8213.7394725225804</v>
      </c>
    </row>
    <row r="18" spans="1:72" x14ac:dyDescent="0.25">
      <c r="A18" s="38">
        <v>2013</v>
      </c>
      <c r="B18" s="11">
        <v>19.108949423764003</v>
      </c>
      <c r="C18" s="11">
        <v>10.622179028588974</v>
      </c>
      <c r="D18" s="11">
        <v>29.580544738917965</v>
      </c>
      <c r="E18" s="11">
        <v>6.5369652403003978E-2</v>
      </c>
      <c r="F18" s="11">
        <v>24.552918330240807</v>
      </c>
      <c r="G18" s="11">
        <v>33.621400840551473</v>
      </c>
      <c r="H18" s="11">
        <v>13.894941615687269</v>
      </c>
      <c r="I18" s="11">
        <v>1.8879377422165777</v>
      </c>
      <c r="J18" s="11">
        <v>12.769649795057244</v>
      </c>
      <c r="K18" s="11">
        <v>0.52684825432671645</v>
      </c>
      <c r="L18" s="11">
        <v>6.1003891058005246</v>
      </c>
      <c r="M18" s="11">
        <v>5.6595330794961534</v>
      </c>
      <c r="N18" s="11">
        <v>158.3906616070507</v>
      </c>
      <c r="O18" s="57">
        <f t="shared" si="6"/>
        <v>153.91673171381078</v>
      </c>
      <c r="P18" s="11">
        <f t="shared" si="7"/>
        <v>87.319066230483102</v>
      </c>
      <c r="Q18" s="56">
        <v>36192</v>
      </c>
      <c r="R18" s="8">
        <v>11468</v>
      </c>
      <c r="V18" s="56">
        <f>S194</f>
        <v>41548</v>
      </c>
      <c r="W18" s="8">
        <f>T194</f>
        <v>92063.940000000017</v>
      </c>
      <c r="X18" s="8">
        <v>6479.89</v>
      </c>
      <c r="Z18">
        <f t="shared" si="20"/>
        <v>2012</v>
      </c>
      <c r="AA18" s="8">
        <f t="shared" si="21"/>
        <v>114630.09900711392</v>
      </c>
      <c r="AB18" s="11">
        <f t="shared" si="22"/>
        <v>96.409338595802225</v>
      </c>
      <c r="AC18" s="20">
        <f t="shared" si="23"/>
        <v>-0.5359066140419777</v>
      </c>
      <c r="AD18" s="8">
        <f t="shared" si="24"/>
        <v>8291.3700000000008</v>
      </c>
      <c r="AE18" s="8">
        <f t="shared" si="27"/>
        <v>99496.44</v>
      </c>
      <c r="AF18" s="8">
        <f t="shared" si="25"/>
        <v>103939.84002246923</v>
      </c>
      <c r="AG18" s="8">
        <f t="shared" si="26"/>
        <v>10690.258984644694</v>
      </c>
      <c r="AH18" s="8"/>
      <c r="AJ18">
        <f t="shared" si="9"/>
        <v>2013</v>
      </c>
      <c r="AK18" s="8">
        <f t="shared" si="10"/>
        <v>102754.19898464471</v>
      </c>
      <c r="AL18" s="8">
        <f t="shared" si="11"/>
        <v>8291.3700000000008</v>
      </c>
      <c r="AM18">
        <f t="shared" si="12"/>
        <v>2013</v>
      </c>
      <c r="AN18" s="8">
        <f t="shared" si="13"/>
        <v>6479.89</v>
      </c>
      <c r="AO18" s="8">
        <f t="shared" si="14"/>
        <v>8531.1786072428622</v>
      </c>
      <c r="AP18" s="8">
        <f t="shared" si="15"/>
        <v>8705.7714065862638</v>
      </c>
      <c r="AQ18" s="8">
        <f t="array" ref="AQ18">($AS$20*AK18)+($AR$20*AL18)</f>
        <v>10711.805687318521</v>
      </c>
      <c r="AR18" s="8">
        <f t="shared" si="16"/>
        <v>7489.3105926607859</v>
      </c>
      <c r="AX18">
        <f t="shared" si="2"/>
        <v>2013</v>
      </c>
      <c r="AY18" s="8">
        <f t="shared" si="3"/>
        <v>102754.19898464471</v>
      </c>
      <c r="AZ18" s="11">
        <f t="shared" si="17"/>
        <v>-47.516319447471361</v>
      </c>
      <c r="BA18" s="8">
        <f t="shared" si="18"/>
        <v>8291.3700000000008</v>
      </c>
      <c r="BB18">
        <v>0</v>
      </c>
      <c r="BC18">
        <v>0</v>
      </c>
      <c r="BD18">
        <f t="shared" si="0"/>
        <v>2013</v>
      </c>
      <c r="BE18" s="8">
        <f t="shared" si="1"/>
        <v>6479.89</v>
      </c>
      <c r="BF18" s="8">
        <f t="shared" si="4"/>
        <v>6299.1240939144673</v>
      </c>
      <c r="BG18" s="8">
        <f t="shared" si="5"/>
        <v>4859.419714240179</v>
      </c>
      <c r="BH18" s="8">
        <f t="shared" si="19"/>
        <v>7182.1172743606003</v>
      </c>
    </row>
    <row r="19" spans="1:72" x14ac:dyDescent="0.25">
      <c r="A19" s="38">
        <v>2014</v>
      </c>
      <c r="B19" s="11">
        <v>22.133463046894001</v>
      </c>
      <c r="C19" s="11">
        <v>64.573930168894009</v>
      </c>
      <c r="D19" s="11">
        <v>55.449416312726093</v>
      </c>
      <c r="E19" s="11">
        <v>34.389494216859575</v>
      </c>
      <c r="F19" s="11">
        <v>3.5214007930532967</v>
      </c>
      <c r="G19" s="11">
        <v>24.776264650812408</v>
      </c>
      <c r="H19" s="11">
        <v>6.9610894811756419</v>
      </c>
      <c r="I19" s="11">
        <v>31.240856014800908</v>
      </c>
      <c r="J19" s="11">
        <v>15.845914347162507</v>
      </c>
      <c r="K19" s="11">
        <v>6.7295720002066766</v>
      </c>
      <c r="L19" s="11">
        <v>5.2653696518463846</v>
      </c>
      <c r="M19" s="11">
        <v>38.1163423664375</v>
      </c>
      <c r="N19" s="11">
        <v>309.00311305086905</v>
      </c>
      <c r="O19" s="57">
        <f t="shared" si="6"/>
        <v>95.014007814199545</v>
      </c>
      <c r="P19" s="11">
        <f t="shared" si="7"/>
        <v>123.46459150407101</v>
      </c>
      <c r="Q19" s="56">
        <v>36220</v>
      </c>
      <c r="R19" s="8">
        <v>1318.9</v>
      </c>
      <c r="Z19">
        <f t="shared" si="20"/>
        <v>2013</v>
      </c>
      <c r="AA19" s="8">
        <f t="shared" si="21"/>
        <v>102754.19898464471</v>
      </c>
      <c r="AB19" s="11">
        <f t="shared" si="22"/>
        <v>153.91673171381078</v>
      </c>
      <c r="AC19" s="20">
        <f t="shared" si="23"/>
        <v>3.9167317138107761E-2</v>
      </c>
      <c r="AD19" s="8">
        <f t="shared" si="24"/>
        <v>6479.89</v>
      </c>
      <c r="AE19" s="8">
        <f t="shared" si="27"/>
        <v>77758.680000000008</v>
      </c>
      <c r="AF19" s="8">
        <f t="shared" si="25"/>
        <v>77504.880093349959</v>
      </c>
      <c r="AG19" s="8">
        <f t="shared" si="26"/>
        <v>25249.318891294752</v>
      </c>
      <c r="AH19" s="8"/>
      <c r="AJ19" t="s">
        <v>322</v>
      </c>
      <c r="AK19" t="s">
        <v>321</v>
      </c>
      <c r="AL19" t="s">
        <v>324</v>
      </c>
      <c r="AN19" t="s">
        <v>323</v>
      </c>
      <c r="AO19" t="s">
        <v>321</v>
      </c>
      <c r="AP19" t="s">
        <v>324</v>
      </c>
      <c r="AQ19" t="s">
        <v>327</v>
      </c>
      <c r="AR19" t="s">
        <v>321</v>
      </c>
      <c r="AS19" t="s">
        <v>324</v>
      </c>
      <c r="AT19" t="s">
        <v>329</v>
      </c>
      <c r="AU19" t="s">
        <v>330</v>
      </c>
      <c r="AY19" s="24" t="s">
        <v>270</v>
      </c>
      <c r="AZ19" s="24" t="s">
        <v>331</v>
      </c>
      <c r="BA19" s="24" t="s">
        <v>332</v>
      </c>
      <c r="BD19" s="74" t="s">
        <v>270</v>
      </c>
      <c r="BE19" s="74" t="s">
        <v>331</v>
      </c>
      <c r="BF19" s="74" t="s">
        <v>332</v>
      </c>
      <c r="BH19" s="24" t="s">
        <v>568</v>
      </c>
      <c r="BI19" s="24" t="s">
        <v>270</v>
      </c>
      <c r="BJ19" s="24" t="s">
        <v>331</v>
      </c>
      <c r="BK19" s="24" t="s">
        <v>332</v>
      </c>
      <c r="BM19" s="23" t="s">
        <v>570</v>
      </c>
      <c r="BN19" s="23" t="s">
        <v>568</v>
      </c>
      <c r="BO19" s="23" t="s">
        <v>321</v>
      </c>
      <c r="BP19" s="23" t="s">
        <v>331</v>
      </c>
      <c r="BQ19" s="23" t="s">
        <v>567</v>
      </c>
    </row>
    <row r="20" spans="1:72" x14ac:dyDescent="0.25">
      <c r="A20" s="38">
        <v>2015</v>
      </c>
      <c r="B20" s="11">
        <v>31.554085657290447</v>
      </c>
      <c r="C20" s="11">
        <v>7.5178988378799376</v>
      </c>
      <c r="D20" s="11">
        <v>12.560311300745271</v>
      </c>
      <c r="E20" s="11">
        <v>14.970038946500548</v>
      </c>
      <c r="F20" s="11">
        <v>39.176264588471049</v>
      </c>
      <c r="G20" s="11">
        <v>81.954863670735037</v>
      </c>
      <c r="H20" s="11">
        <v>26.27120626575752</v>
      </c>
      <c r="I20" s="11">
        <v>9.373540850464936</v>
      </c>
      <c r="J20" s="11">
        <v>1.5564202566555038E-2</v>
      </c>
      <c r="K20" s="11">
        <v>9.9976653922856542</v>
      </c>
      <c r="L20" s="11">
        <v>62.943190711945412</v>
      </c>
      <c r="M20" s="11">
        <v>6.5077820937457256</v>
      </c>
      <c r="N20" s="11">
        <v>302.84241251838807</v>
      </c>
      <c r="O20" s="11"/>
      <c r="P20" s="11">
        <f t="shared" si="7"/>
        <v>181.75914391678131</v>
      </c>
      <c r="Q20" s="56">
        <v>36251</v>
      </c>
      <c r="R20" s="8">
        <v>72.394999999999996</v>
      </c>
      <c r="W20">
        <f t="array" ref="W20:X24">LINEST(X4:X18,W4:W18,0,1)</f>
        <v>0.10198728011374383</v>
      </c>
      <c r="X20">
        <v>0</v>
      </c>
      <c r="AJ20" t="s">
        <v>325</v>
      </c>
      <c r="AK20">
        <f t="array" ref="AK20:AM24">LINEST(AN4:AN18,AK4:AL18,0,1)</f>
        <v>0.43523880692964634</v>
      </c>
      <c r="AL20">
        <v>4.7905123773736936E-2</v>
      </c>
      <c r="AM20">
        <v>0</v>
      </c>
      <c r="AN20" t="s">
        <v>326</v>
      </c>
      <c r="AO20">
        <f t="array" ref="AO20:AP24">LINEST(AN4:AN17,AK4:AL17,0,1)</f>
        <v>0.44288362917426138</v>
      </c>
      <c r="AP20">
        <v>4.8987383677740352E-2</v>
      </c>
      <c r="AQ20" t="s">
        <v>328</v>
      </c>
      <c r="AR20">
        <f t="array" ref="AR20:AS24">LINEST(AN4:AN13,AK4:AL13,0,1)</f>
        <v>0.38280276988904122</v>
      </c>
      <c r="AS20">
        <v>7.335803655352377E-2</v>
      </c>
      <c r="AU20">
        <f t="array" ref="AU20:AV24">LINEST(AN4:AN18,AK4:AK18,0,1)</f>
        <v>7.2885689019676625E-2</v>
      </c>
      <c r="AV20">
        <v>0</v>
      </c>
      <c r="AX20" t="s">
        <v>325</v>
      </c>
      <c r="AY20">
        <f t="array" ref="AY20:BA24">LINEST(BE4:BE16,AY4:BA16,0,1)</f>
        <v>0.48912278071522308</v>
      </c>
      <c r="AZ20">
        <v>42.959458415625235</v>
      </c>
      <c r="BA20">
        <v>3.8786783896507041E-2</v>
      </c>
      <c r="BC20" t="s">
        <v>468</v>
      </c>
      <c r="BD20">
        <f t="array" ref="BD20:BF24">LINEST(BE4:BE17,AY4:BA17,0,1)</f>
        <v>0.49168234341839656</v>
      </c>
      <c r="BE20">
        <v>40.144195901266869</v>
      </c>
      <c r="BF20">
        <v>4.0192112238538351E-2</v>
      </c>
      <c r="BG20" t="s">
        <v>548</v>
      </c>
      <c r="BH20">
        <f t="array" ref="BH20:BK24">LINEST(BE4:BE16,AY4:BB16,0,1)</f>
        <v>7470.2758009739809</v>
      </c>
      <c r="BI20">
        <v>0.56143983143208775</v>
      </c>
      <c r="BJ20">
        <v>51.585918271011387</v>
      </c>
      <c r="BK20">
        <v>2.5843102636150798E-2</v>
      </c>
      <c r="BL20" t="s">
        <v>566</v>
      </c>
      <c r="BM20">
        <f t="array" ref="BM20:BQ24">LINEST(BE4:BE17,AY4:BC17,0,1)</f>
        <v>-6275.9509177875634</v>
      </c>
      <c r="BN20">
        <v>7890.6496313337175</v>
      </c>
      <c r="BO20">
        <v>0.73895216205716241</v>
      </c>
      <c r="BP20">
        <v>24.87272645108639</v>
      </c>
      <c r="BQ20">
        <v>2.1770904976432113E-2</v>
      </c>
    </row>
    <row r="21" spans="1:72" x14ac:dyDescent="0.25">
      <c r="A21" t="s">
        <v>311</v>
      </c>
      <c r="B21" s="11">
        <f>AVERAGE(B4:B20)</f>
        <v>33.793637006056066</v>
      </c>
      <c r="C21" s="11">
        <f t="shared" ref="C21:N21" si="28">AVERAGE(C4:C20)</f>
        <v>47.18271915919177</v>
      </c>
      <c r="D21" s="11">
        <f t="shared" si="28"/>
        <v>30.436415664907948</v>
      </c>
      <c r="E21" s="11">
        <f t="shared" si="28"/>
        <v>19.24772260867914</v>
      </c>
      <c r="F21" s="11">
        <f t="shared" si="28"/>
        <v>22.037766065190166</v>
      </c>
      <c r="G21" s="11">
        <f t="shared" si="28"/>
        <v>34.246761283078598</v>
      </c>
      <c r="H21" s="11">
        <f t="shared" si="28"/>
        <v>15.900457766296714</v>
      </c>
      <c r="I21" s="11">
        <f t="shared" si="28"/>
        <v>11.502243078036013</v>
      </c>
      <c r="J21" s="11">
        <f t="shared" si="28"/>
        <v>13.441565574835547</v>
      </c>
      <c r="K21" s="11">
        <f t="shared" si="28"/>
        <v>18.458869301838277</v>
      </c>
      <c r="L21" s="11">
        <f t="shared" si="28"/>
        <v>35.378736554512201</v>
      </c>
      <c r="M21" s="11">
        <f t="shared" si="28"/>
        <v>42.07940027893995</v>
      </c>
      <c r="N21" s="11">
        <f t="shared" si="28"/>
        <v>323.70629434156234</v>
      </c>
      <c r="O21" s="11"/>
      <c r="P21" s="11">
        <f t="shared" si="7"/>
        <v>134.83538567795446</v>
      </c>
      <c r="Q21" s="56">
        <v>36281</v>
      </c>
      <c r="R21" s="8">
        <v>78.606999999999999</v>
      </c>
      <c r="W21">
        <v>1.482413542765788E-2</v>
      </c>
      <c r="X21" t="e">
        <v>#N/A</v>
      </c>
      <c r="AK21">
        <v>0.1263771233964984</v>
      </c>
      <c r="AL21">
        <v>1.1253438440998262E-2</v>
      </c>
      <c r="AM21" t="e">
        <v>#N/A</v>
      </c>
      <c r="AO21">
        <v>0.13002183053884253</v>
      </c>
      <c r="AP21">
        <v>1.1655915889756894E-2</v>
      </c>
      <c r="AR21">
        <v>0.14846451241789121</v>
      </c>
      <c r="AS21">
        <v>1.9445854683654215E-2</v>
      </c>
      <c r="AU21">
        <v>1.1465465761272093E-2</v>
      </c>
      <c r="AV21" t="e">
        <v>#N/A</v>
      </c>
      <c r="AY21">
        <v>0.11579854722520204</v>
      </c>
      <c r="AZ21">
        <v>18.479594806563682</v>
      </c>
      <c r="BA21">
        <v>1.1416784369418505E-2</v>
      </c>
      <c r="BD21">
        <v>0.11111737646598133</v>
      </c>
      <c r="BE21">
        <v>16.418648674107711</v>
      </c>
      <c r="BF21">
        <v>1.0438599745977635E-2</v>
      </c>
      <c r="BH21">
        <v>2512.0696485943636</v>
      </c>
      <c r="BI21">
        <v>9.0035883512963669E-2</v>
      </c>
      <c r="BJ21">
        <v>14.135126172946915</v>
      </c>
      <c r="BK21">
        <v>9.5913785104145815E-3</v>
      </c>
      <c r="BM21">
        <v>1207.9772498034649</v>
      </c>
      <c r="BN21">
        <v>1316.8237833193139</v>
      </c>
      <c r="BO21">
        <v>5.8382787792707766E-2</v>
      </c>
      <c r="BP21">
        <v>7.9367530238379231</v>
      </c>
      <c r="BQ21">
        <v>4.9560236430883321E-3</v>
      </c>
      <c r="BS21" t="s">
        <v>545</v>
      </c>
    </row>
    <row r="22" spans="1:72" x14ac:dyDescent="0.25">
      <c r="Q22" s="56">
        <v>36312</v>
      </c>
      <c r="R22" s="8">
        <v>26.975000000000001</v>
      </c>
      <c r="W22">
        <v>0.77173352561800423</v>
      </c>
      <c r="X22">
        <v>4187.6835492600494</v>
      </c>
      <c r="AK22">
        <v>0.86545536294214254</v>
      </c>
      <c r="AL22">
        <v>3336.4016537070315</v>
      </c>
      <c r="AM22" t="e">
        <v>#N/A</v>
      </c>
      <c r="AO22">
        <v>0.86440708586264792</v>
      </c>
      <c r="AP22">
        <v>3417.4132854490381</v>
      </c>
      <c r="AR22">
        <v>0.86044827955492453</v>
      </c>
      <c r="AS22">
        <v>3617.1713586727287</v>
      </c>
      <c r="AU22">
        <v>0.74269975822172407</v>
      </c>
      <c r="AV22">
        <v>4446.0351052805045</v>
      </c>
      <c r="AY22">
        <v>0.90737054803313566</v>
      </c>
      <c r="AZ22">
        <v>2989.4966524005363</v>
      </c>
      <c r="BA22" t="e">
        <v>#N/A</v>
      </c>
      <c r="BD22">
        <v>0.9121507737442075</v>
      </c>
      <c r="BE22">
        <v>2873.0438663627924</v>
      </c>
      <c r="BF22" t="e">
        <v>#N/A</v>
      </c>
      <c r="BH22">
        <v>0.95327830107929956</v>
      </c>
      <c r="BI22">
        <v>2238.0077321312178</v>
      </c>
      <c r="BJ22" t="e">
        <v>#N/A</v>
      </c>
      <c r="BK22" t="e">
        <v>#N/A</v>
      </c>
      <c r="BM22">
        <v>0.98788042237043971</v>
      </c>
      <c r="BN22">
        <v>1179.7557884000603</v>
      </c>
      <c r="BO22" t="e">
        <v>#N/A</v>
      </c>
      <c r="BP22" t="e">
        <v>#N/A</v>
      </c>
      <c r="BQ22" t="e">
        <v>#N/A</v>
      </c>
      <c r="BS22">
        <f>1-(((1-BM22)*(13))/(7))</f>
        <v>0.97749221297367372</v>
      </c>
    </row>
    <row r="23" spans="1:72" x14ac:dyDescent="0.25">
      <c r="Q23" s="56">
        <v>36342</v>
      </c>
      <c r="R23" s="8">
        <v>3328.5</v>
      </c>
      <c r="W23">
        <v>47.331827364939727</v>
      </c>
      <c r="X23">
        <v>14</v>
      </c>
      <c r="AK23">
        <v>41.811104345280185</v>
      </c>
      <c r="AL23">
        <v>13</v>
      </c>
      <c r="AM23" t="e">
        <v>#N/A</v>
      </c>
      <c r="AO23">
        <v>38.250099927214144</v>
      </c>
      <c r="AP23">
        <v>12</v>
      </c>
      <c r="AR23">
        <v>24.66320807255336</v>
      </c>
      <c r="AS23">
        <v>8</v>
      </c>
      <c r="AU23">
        <v>40.411142030967312</v>
      </c>
      <c r="AV23">
        <v>14</v>
      </c>
      <c r="AY23">
        <v>32.652341444552</v>
      </c>
      <c r="AZ23">
        <v>10</v>
      </c>
      <c r="BA23" t="e">
        <v>#N/A</v>
      </c>
      <c r="BD23">
        <v>38.07151160698541</v>
      </c>
      <c r="BE23">
        <v>11</v>
      </c>
      <c r="BF23" t="e">
        <v>#N/A</v>
      </c>
      <c r="BH23">
        <v>45.907495381725511</v>
      </c>
      <c r="BI23">
        <v>9</v>
      </c>
      <c r="BJ23" t="e">
        <v>#N/A</v>
      </c>
      <c r="BK23" t="e">
        <v>#N/A</v>
      </c>
      <c r="BM23">
        <v>146.72002726643626</v>
      </c>
      <c r="BN23">
        <v>9</v>
      </c>
      <c r="BO23" t="e">
        <v>#N/A</v>
      </c>
      <c r="BP23" t="e">
        <v>#N/A</v>
      </c>
      <c r="BQ23" t="e">
        <v>#N/A</v>
      </c>
      <c r="BS23">
        <v>3.63</v>
      </c>
      <c r="BT23" t="s">
        <v>602</v>
      </c>
    </row>
    <row r="24" spans="1:72" x14ac:dyDescent="0.25">
      <c r="Q24" s="56">
        <v>36373</v>
      </c>
      <c r="R24" s="8">
        <v>531.99</v>
      </c>
      <c r="W24">
        <v>830043749.70769441</v>
      </c>
      <c r="X24">
        <v>245513709.12240541</v>
      </c>
      <c r="AK24">
        <v>930846970.8969326</v>
      </c>
      <c r="AL24">
        <v>144710487.93316719</v>
      </c>
      <c r="AM24" t="e">
        <v>#N/A</v>
      </c>
      <c r="AO24">
        <v>893423921.65523684</v>
      </c>
      <c r="AP24">
        <v>140144562.76276305</v>
      </c>
      <c r="AR24">
        <v>645383308.81098151</v>
      </c>
      <c r="AS24">
        <v>104671429.10401851</v>
      </c>
      <c r="AU24">
        <v>798816264.62668705</v>
      </c>
      <c r="AV24">
        <v>276741194.20341271</v>
      </c>
      <c r="AY24">
        <v>875450765.59395981</v>
      </c>
      <c r="AZ24">
        <v>89370902.347140118</v>
      </c>
      <c r="BA24" t="e">
        <v>#N/A</v>
      </c>
      <c r="BD24">
        <v>942770292.77950644</v>
      </c>
      <c r="BE24">
        <v>90798191.638493478</v>
      </c>
      <c r="BF24" t="e">
        <v>#N/A</v>
      </c>
      <c r="BH24">
        <v>919743560.45938778</v>
      </c>
      <c r="BI24">
        <v>45078107.481712058</v>
      </c>
      <c r="BJ24" t="e">
        <v>#N/A</v>
      </c>
      <c r="BK24" t="e">
        <v>#N/A</v>
      </c>
      <c r="BM24">
        <v>1021042070.9356289</v>
      </c>
      <c r="BN24">
        <v>12526413.482371029</v>
      </c>
      <c r="BO24" t="e">
        <v>#N/A</v>
      </c>
      <c r="BP24" t="e">
        <v>#N/A</v>
      </c>
      <c r="BQ24" t="e">
        <v>#N/A</v>
      </c>
    </row>
    <row r="25" spans="1:72" x14ac:dyDescent="0.25">
      <c r="Q25" s="56">
        <v>36404</v>
      </c>
      <c r="R25" s="8">
        <v>592.77</v>
      </c>
    </row>
    <row r="26" spans="1:72" x14ac:dyDescent="0.25">
      <c r="Q26" s="56">
        <v>36434</v>
      </c>
      <c r="R26" s="8">
        <v>23461</v>
      </c>
      <c r="S26" s="56">
        <f>Q26</f>
        <v>36434</v>
      </c>
      <c r="T26" s="8">
        <f>SUM(R15:R26)</f>
        <v>69192.036999999997</v>
      </c>
      <c r="BM26" s="15">
        <f>ABS(BM20)/BM21</f>
        <v>5.195421452522095</v>
      </c>
      <c r="BN26" s="15">
        <f t="shared" ref="BN26:BQ26" si="29">ABS(BN20)/BN21</f>
        <v>5.9921834123042492</v>
      </c>
      <c r="BO26" s="15">
        <f t="shared" si="29"/>
        <v>12.657020844582902</v>
      </c>
      <c r="BP26" s="15">
        <f t="shared" si="29"/>
        <v>3.1338667558863826</v>
      </c>
      <c r="BQ26" s="15">
        <f t="shared" si="29"/>
        <v>4.3928170130491218</v>
      </c>
    </row>
    <row r="27" spans="1:72" x14ac:dyDescent="0.25">
      <c r="Q27" s="56">
        <v>36465</v>
      </c>
      <c r="R27" s="8">
        <v>19487</v>
      </c>
      <c r="BM27" t="s">
        <v>572</v>
      </c>
    </row>
    <row r="28" spans="1:72" x14ac:dyDescent="0.25">
      <c r="Q28" s="56">
        <v>36495</v>
      </c>
      <c r="R28" s="8">
        <v>2051.4</v>
      </c>
    </row>
    <row r="29" spans="1:72" x14ac:dyDescent="0.25">
      <c r="Q29" s="56">
        <v>36526</v>
      </c>
      <c r="R29" s="8">
        <v>5003.6000000000004</v>
      </c>
    </row>
    <row r="30" spans="1:72" x14ac:dyDescent="0.25">
      <c r="Q30" s="56">
        <v>36557</v>
      </c>
      <c r="R30" s="8">
        <v>3121.4</v>
      </c>
    </row>
    <row r="31" spans="1:72" x14ac:dyDescent="0.25">
      <c r="Q31" s="56">
        <v>36586</v>
      </c>
      <c r="R31" s="8">
        <v>2731.8</v>
      </c>
    </row>
    <row r="32" spans="1:72" x14ac:dyDescent="0.25">
      <c r="Q32" s="56">
        <v>36617</v>
      </c>
      <c r="R32" s="8">
        <v>6.1498999999999997</v>
      </c>
    </row>
    <row r="33" spans="17:20" x14ac:dyDescent="0.25">
      <c r="Q33" s="56">
        <v>36647</v>
      </c>
      <c r="R33" s="8">
        <v>38.051000000000002</v>
      </c>
    </row>
    <row r="34" spans="17:20" x14ac:dyDescent="0.25">
      <c r="Q34" s="56">
        <v>36678</v>
      </c>
      <c r="R34" s="8">
        <v>1558.6</v>
      </c>
    </row>
    <row r="35" spans="17:20" x14ac:dyDescent="0.25">
      <c r="Q35" s="56">
        <v>36708</v>
      </c>
      <c r="R35" s="8">
        <v>13259</v>
      </c>
    </row>
    <row r="36" spans="17:20" x14ac:dyDescent="0.25">
      <c r="Q36" s="56">
        <v>36739</v>
      </c>
      <c r="R36" s="8">
        <v>275.48</v>
      </c>
    </row>
    <row r="37" spans="17:20" x14ac:dyDescent="0.25">
      <c r="Q37" s="56">
        <v>36770</v>
      </c>
      <c r="R37" s="8">
        <v>7687.4</v>
      </c>
    </row>
    <row r="38" spans="17:20" x14ac:dyDescent="0.25">
      <c r="Q38" s="56">
        <v>36800</v>
      </c>
      <c r="R38" s="8">
        <v>8548.4</v>
      </c>
      <c r="S38" s="56">
        <f>Q38</f>
        <v>36800</v>
      </c>
      <c r="T38" s="8">
        <f>SUM(R27:R38)</f>
        <v>63768.280900000005</v>
      </c>
    </row>
    <row r="39" spans="17:20" x14ac:dyDescent="0.25">
      <c r="Q39" s="56">
        <v>36831</v>
      </c>
      <c r="R39" s="8">
        <v>1793.6</v>
      </c>
    </row>
    <row r="40" spans="17:20" x14ac:dyDescent="0.25">
      <c r="Q40" s="56">
        <v>36861</v>
      </c>
      <c r="R40" s="8">
        <v>22963</v>
      </c>
    </row>
    <row r="41" spans="17:20" x14ac:dyDescent="0.25">
      <c r="Q41" s="56">
        <v>36892</v>
      </c>
      <c r="R41" s="8">
        <v>16989</v>
      </c>
    </row>
    <row r="42" spans="17:20" x14ac:dyDescent="0.25">
      <c r="Q42" s="56">
        <v>36923</v>
      </c>
      <c r="R42" s="8">
        <v>10348</v>
      </c>
    </row>
    <row r="43" spans="17:20" x14ac:dyDescent="0.25">
      <c r="Q43" s="56">
        <v>36951</v>
      </c>
      <c r="R43" s="8">
        <v>19197</v>
      </c>
    </row>
    <row r="44" spans="17:20" x14ac:dyDescent="0.25">
      <c r="Q44" s="56">
        <v>36982</v>
      </c>
      <c r="R44" s="8">
        <v>1285.0999999999999</v>
      </c>
    </row>
    <row r="45" spans="17:20" x14ac:dyDescent="0.25">
      <c r="Q45" s="56">
        <v>37012</v>
      </c>
      <c r="R45" s="8">
        <v>62.44</v>
      </c>
    </row>
    <row r="46" spans="17:20" x14ac:dyDescent="0.25">
      <c r="Q46" s="56">
        <v>37043</v>
      </c>
      <c r="R46" s="8">
        <v>13.72</v>
      </c>
    </row>
    <row r="47" spans="17:20" x14ac:dyDescent="0.25">
      <c r="Q47" s="56">
        <v>37073</v>
      </c>
      <c r="R47" s="8">
        <v>674.43</v>
      </c>
    </row>
    <row r="48" spans="17:20" x14ac:dyDescent="0.25">
      <c r="Q48" s="56">
        <v>37104</v>
      </c>
      <c r="R48" s="8">
        <v>28404</v>
      </c>
    </row>
    <row r="49" spans="17:20" x14ac:dyDescent="0.25">
      <c r="Q49" s="56">
        <v>37135</v>
      </c>
      <c r="R49" s="8">
        <v>2738</v>
      </c>
    </row>
    <row r="50" spans="17:20" x14ac:dyDescent="0.25">
      <c r="Q50" s="56">
        <v>37165</v>
      </c>
      <c r="R50" s="8">
        <v>525.41999999999996</v>
      </c>
      <c r="S50" s="56">
        <f>Q50</f>
        <v>37165</v>
      </c>
      <c r="T50" s="8">
        <f>SUM(R39:R50)</f>
        <v>104993.71</v>
      </c>
    </row>
    <row r="51" spans="17:20" x14ac:dyDescent="0.25">
      <c r="Q51" s="56">
        <v>37196</v>
      </c>
      <c r="R51" s="8">
        <v>668.44</v>
      </c>
    </row>
    <row r="52" spans="17:20" x14ac:dyDescent="0.25">
      <c r="Q52" s="56">
        <v>37226</v>
      </c>
      <c r="R52" s="8">
        <v>21297</v>
      </c>
    </row>
    <row r="53" spans="17:20" x14ac:dyDescent="0.25">
      <c r="Q53" s="56">
        <v>37257</v>
      </c>
      <c r="R53" s="8">
        <v>1689.7</v>
      </c>
    </row>
    <row r="54" spans="17:20" x14ac:dyDescent="0.25">
      <c r="Q54" s="56">
        <v>37288</v>
      </c>
      <c r="R54" s="8">
        <v>525.48</v>
      </c>
    </row>
    <row r="55" spans="17:20" x14ac:dyDescent="0.25">
      <c r="Q55" s="56">
        <v>37316</v>
      </c>
      <c r="R55" s="8">
        <v>2296</v>
      </c>
    </row>
    <row r="56" spans="17:20" x14ac:dyDescent="0.25">
      <c r="Q56" s="56">
        <v>37347</v>
      </c>
      <c r="R56" s="8">
        <v>6234.9</v>
      </c>
    </row>
    <row r="57" spans="17:20" x14ac:dyDescent="0.25">
      <c r="Q57" s="56">
        <v>37377</v>
      </c>
      <c r="R57" s="8">
        <v>109.9</v>
      </c>
    </row>
    <row r="58" spans="17:20" x14ac:dyDescent="0.25">
      <c r="Q58" s="56">
        <v>37408</v>
      </c>
      <c r="R58" s="8">
        <v>0</v>
      </c>
    </row>
    <row r="59" spans="17:20" x14ac:dyDescent="0.25">
      <c r="Q59" s="56">
        <v>37438</v>
      </c>
      <c r="R59" s="8">
        <v>0</v>
      </c>
    </row>
    <row r="60" spans="17:20" x14ac:dyDescent="0.25">
      <c r="Q60" s="56">
        <v>37469</v>
      </c>
      <c r="R60" s="8">
        <v>0</v>
      </c>
    </row>
    <row r="61" spans="17:20" x14ac:dyDescent="0.25">
      <c r="Q61" s="56">
        <v>37500</v>
      </c>
      <c r="R61" s="8">
        <v>0</v>
      </c>
    </row>
    <row r="62" spans="17:20" x14ac:dyDescent="0.25">
      <c r="Q62" s="56">
        <v>37530</v>
      </c>
      <c r="R62" s="8">
        <v>0</v>
      </c>
      <c r="S62" s="56">
        <f>Q62</f>
        <v>37530</v>
      </c>
      <c r="T62" s="8">
        <f>SUM(R51:R62)</f>
        <v>32821.42</v>
      </c>
    </row>
    <row r="63" spans="17:20" x14ac:dyDescent="0.25">
      <c r="Q63" s="56">
        <v>37561</v>
      </c>
      <c r="R63" s="8">
        <v>0</v>
      </c>
    </row>
    <row r="64" spans="17:20" x14ac:dyDescent="0.25">
      <c r="Q64" s="56">
        <v>37591</v>
      </c>
      <c r="R64" s="8">
        <v>0</v>
      </c>
    </row>
    <row r="65" spans="17:20" x14ac:dyDescent="0.25">
      <c r="Q65" s="56">
        <v>37622</v>
      </c>
      <c r="R65" s="8">
        <v>688.97</v>
      </c>
    </row>
    <row r="66" spans="17:20" x14ac:dyDescent="0.25">
      <c r="Q66" s="56">
        <v>37653</v>
      </c>
      <c r="R66" s="8">
        <v>0</v>
      </c>
    </row>
    <row r="67" spans="17:20" x14ac:dyDescent="0.25">
      <c r="Q67" s="56">
        <v>37681</v>
      </c>
      <c r="R67" s="8">
        <v>27276</v>
      </c>
    </row>
    <row r="68" spans="17:20" x14ac:dyDescent="0.25">
      <c r="Q68" s="56">
        <v>37712</v>
      </c>
      <c r="R68" s="8">
        <v>1168.5999999999999</v>
      </c>
    </row>
    <row r="69" spans="17:20" x14ac:dyDescent="0.25">
      <c r="Q69" s="56">
        <v>37742</v>
      </c>
      <c r="R69" s="8">
        <v>11571</v>
      </c>
    </row>
    <row r="70" spans="17:20" x14ac:dyDescent="0.25">
      <c r="Q70" s="56">
        <v>37773</v>
      </c>
      <c r="R70" s="8">
        <v>166.06</v>
      </c>
    </row>
    <row r="71" spans="17:20" x14ac:dyDescent="0.25">
      <c r="Q71" s="56">
        <v>37803</v>
      </c>
      <c r="R71" s="8">
        <v>168.23</v>
      </c>
    </row>
    <row r="72" spans="17:20" x14ac:dyDescent="0.25">
      <c r="Q72" s="56">
        <v>37834</v>
      </c>
      <c r="R72" s="8">
        <v>365.71</v>
      </c>
    </row>
    <row r="73" spans="17:20" x14ac:dyDescent="0.25">
      <c r="Q73" s="56">
        <v>37865</v>
      </c>
      <c r="R73" s="8">
        <v>3901.6</v>
      </c>
    </row>
    <row r="74" spans="17:20" x14ac:dyDescent="0.25">
      <c r="Q74" s="56">
        <v>37895</v>
      </c>
      <c r="R74" s="8">
        <v>436.59</v>
      </c>
      <c r="S74" s="56">
        <f>Q74</f>
        <v>37895</v>
      </c>
      <c r="T74" s="8">
        <f>SUM(R63:R74)</f>
        <v>45742.759999999995</v>
      </c>
    </row>
    <row r="75" spans="17:20" x14ac:dyDescent="0.25">
      <c r="Q75" s="56">
        <v>37926</v>
      </c>
      <c r="R75" s="8">
        <v>360.95</v>
      </c>
    </row>
    <row r="76" spans="17:20" x14ac:dyDescent="0.25">
      <c r="Q76" s="56">
        <v>37956</v>
      </c>
      <c r="R76" s="8">
        <v>10402</v>
      </c>
    </row>
    <row r="77" spans="17:20" x14ac:dyDescent="0.25">
      <c r="Q77" s="56">
        <v>37987</v>
      </c>
      <c r="R77" s="8">
        <v>19853</v>
      </c>
    </row>
    <row r="78" spans="17:20" x14ac:dyDescent="0.25">
      <c r="Q78" s="56">
        <v>38018</v>
      </c>
      <c r="R78" s="8">
        <v>48696</v>
      </c>
    </row>
    <row r="79" spans="17:20" x14ac:dyDescent="0.25">
      <c r="Q79" s="56">
        <v>38047</v>
      </c>
      <c r="R79" s="8">
        <v>4315.3</v>
      </c>
    </row>
    <row r="80" spans="17:20" x14ac:dyDescent="0.25">
      <c r="Q80" s="56">
        <v>38078</v>
      </c>
      <c r="R80" s="8">
        <v>1478.5</v>
      </c>
    </row>
    <row r="81" spans="17:20" x14ac:dyDescent="0.25">
      <c r="Q81" s="56">
        <v>38108</v>
      </c>
      <c r="R81" s="8">
        <v>116.89</v>
      </c>
    </row>
    <row r="82" spans="17:20" x14ac:dyDescent="0.25">
      <c r="Q82" s="56">
        <v>38139</v>
      </c>
      <c r="R82" s="8">
        <v>257.79000000000002</v>
      </c>
    </row>
    <row r="83" spans="17:20" x14ac:dyDescent="0.25">
      <c r="Q83" s="56">
        <v>38169</v>
      </c>
      <c r="R83" s="8">
        <v>0</v>
      </c>
    </row>
    <row r="84" spans="17:20" x14ac:dyDescent="0.25">
      <c r="Q84" s="56">
        <v>38200</v>
      </c>
      <c r="R84" s="8">
        <v>0</v>
      </c>
    </row>
    <row r="85" spans="17:20" x14ac:dyDescent="0.25">
      <c r="Q85" s="56">
        <v>38231</v>
      </c>
      <c r="R85" s="8">
        <v>0</v>
      </c>
    </row>
    <row r="86" spans="17:20" x14ac:dyDescent="0.25">
      <c r="Q86" s="56">
        <v>38261</v>
      </c>
      <c r="R86" s="8">
        <v>641.07000000000005</v>
      </c>
      <c r="S86" s="56">
        <f>Q86</f>
        <v>38261</v>
      </c>
      <c r="T86" s="8">
        <f>SUM(R75:R86)</f>
        <v>86121.5</v>
      </c>
    </row>
    <row r="87" spans="17:20" x14ac:dyDescent="0.25">
      <c r="Q87" s="56">
        <v>38292</v>
      </c>
      <c r="R87" s="8">
        <v>269.37</v>
      </c>
    </row>
    <row r="88" spans="17:20" x14ac:dyDescent="0.25">
      <c r="Q88" s="56">
        <v>38322</v>
      </c>
      <c r="R88" s="8">
        <v>21263</v>
      </c>
    </row>
    <row r="89" spans="17:20" x14ac:dyDescent="0.25">
      <c r="Q89" s="56">
        <v>38353</v>
      </c>
      <c r="R89" s="8">
        <v>32970</v>
      </c>
    </row>
    <row r="90" spans="17:20" x14ac:dyDescent="0.25">
      <c r="Q90" s="56">
        <v>38384</v>
      </c>
      <c r="R90" s="8">
        <v>2679.4</v>
      </c>
    </row>
    <row r="91" spans="17:20" x14ac:dyDescent="0.25">
      <c r="Q91" s="56">
        <v>38412</v>
      </c>
      <c r="R91" s="8">
        <v>596.25</v>
      </c>
    </row>
    <row r="92" spans="17:20" x14ac:dyDescent="0.25">
      <c r="Q92" s="56">
        <v>38443</v>
      </c>
      <c r="R92" s="8">
        <v>0</v>
      </c>
    </row>
    <row r="93" spans="17:20" x14ac:dyDescent="0.25">
      <c r="Q93" s="56">
        <v>38473</v>
      </c>
      <c r="R93" s="8">
        <v>0</v>
      </c>
    </row>
    <row r="94" spans="17:20" x14ac:dyDescent="0.25">
      <c r="Q94" s="56">
        <v>38504</v>
      </c>
      <c r="R94" s="8">
        <v>421.45</v>
      </c>
    </row>
    <row r="95" spans="17:20" x14ac:dyDescent="0.25">
      <c r="Q95" s="56">
        <v>38534</v>
      </c>
      <c r="R95" s="8">
        <v>34511</v>
      </c>
    </row>
    <row r="96" spans="17:20" x14ac:dyDescent="0.25">
      <c r="Q96" s="56">
        <v>38565</v>
      </c>
      <c r="R96" s="8">
        <v>4743.2</v>
      </c>
    </row>
    <row r="97" spans="17:20" x14ac:dyDescent="0.25">
      <c r="Q97" s="56">
        <v>38596</v>
      </c>
      <c r="R97" s="8">
        <v>398.02</v>
      </c>
    </row>
    <row r="98" spans="17:20" x14ac:dyDescent="0.25">
      <c r="Q98" s="56">
        <v>38626</v>
      </c>
      <c r="R98" s="8">
        <v>746.23</v>
      </c>
      <c r="S98" s="56">
        <f>Q98</f>
        <v>38626</v>
      </c>
      <c r="T98" s="8">
        <f>SUM(R87:R98)</f>
        <v>98597.92</v>
      </c>
    </row>
    <row r="99" spans="17:20" x14ac:dyDescent="0.25">
      <c r="Q99" s="56">
        <v>38657</v>
      </c>
      <c r="R99" s="8">
        <v>3999.6</v>
      </c>
    </row>
    <row r="100" spans="17:20" x14ac:dyDescent="0.25">
      <c r="Q100" s="56">
        <v>38687</v>
      </c>
      <c r="R100" s="8">
        <v>18018</v>
      </c>
    </row>
    <row r="101" spans="17:20" x14ac:dyDescent="0.25">
      <c r="Q101" s="56">
        <v>38718</v>
      </c>
      <c r="R101" s="8">
        <v>4776.6000000000004</v>
      </c>
    </row>
    <row r="102" spans="17:20" x14ac:dyDescent="0.25">
      <c r="Q102" s="56">
        <v>38749</v>
      </c>
      <c r="R102" s="8">
        <v>860.5</v>
      </c>
    </row>
    <row r="103" spans="17:20" x14ac:dyDescent="0.25">
      <c r="Q103" s="56">
        <v>38777</v>
      </c>
      <c r="R103" s="8">
        <v>5536.3</v>
      </c>
    </row>
    <row r="104" spans="17:20" x14ac:dyDescent="0.25">
      <c r="Q104" s="56">
        <v>38808</v>
      </c>
      <c r="R104" s="8">
        <v>375.2</v>
      </c>
    </row>
    <row r="105" spans="17:20" x14ac:dyDescent="0.25">
      <c r="Q105" s="56">
        <v>38838</v>
      </c>
      <c r="R105" s="8">
        <v>0</v>
      </c>
    </row>
    <row r="106" spans="17:20" x14ac:dyDescent="0.25">
      <c r="Q106" s="56">
        <v>38869</v>
      </c>
      <c r="R106" s="8">
        <v>0</v>
      </c>
    </row>
    <row r="107" spans="17:20" x14ac:dyDescent="0.25">
      <c r="Q107" s="56">
        <v>38899</v>
      </c>
      <c r="R107" s="8">
        <v>550.48</v>
      </c>
    </row>
    <row r="108" spans="17:20" x14ac:dyDescent="0.25">
      <c r="Q108" s="56">
        <v>38930</v>
      </c>
      <c r="R108" s="8">
        <v>255.87</v>
      </c>
    </row>
    <row r="109" spans="17:20" x14ac:dyDescent="0.25">
      <c r="Q109" s="56">
        <v>38961</v>
      </c>
      <c r="R109" s="8">
        <v>0</v>
      </c>
    </row>
    <row r="110" spans="17:20" x14ac:dyDescent="0.25">
      <c r="Q110" s="56">
        <v>38991</v>
      </c>
      <c r="R110" s="8">
        <v>0</v>
      </c>
      <c r="S110" s="56">
        <f>Q110</f>
        <v>38991</v>
      </c>
      <c r="T110" s="8">
        <f>SUM(R99:R110)</f>
        <v>34372.550000000003</v>
      </c>
    </row>
    <row r="111" spans="17:20" x14ac:dyDescent="0.25">
      <c r="Q111" s="56">
        <v>39022</v>
      </c>
      <c r="R111" s="8">
        <v>0</v>
      </c>
    </row>
    <row r="112" spans="17:20" x14ac:dyDescent="0.25">
      <c r="Q112" s="56">
        <v>39052</v>
      </c>
      <c r="R112" s="8">
        <v>581.04</v>
      </c>
    </row>
    <row r="113" spans="17:20" x14ac:dyDescent="0.25">
      <c r="Q113" s="56">
        <v>39083</v>
      </c>
      <c r="R113" s="8">
        <v>229</v>
      </c>
    </row>
    <row r="114" spans="17:20" x14ac:dyDescent="0.25">
      <c r="Q114" s="56">
        <v>39114</v>
      </c>
      <c r="R114" s="8">
        <v>710.26</v>
      </c>
    </row>
    <row r="115" spans="17:20" x14ac:dyDescent="0.25">
      <c r="Q115" s="56">
        <v>39142</v>
      </c>
      <c r="R115" s="8">
        <v>716.63</v>
      </c>
    </row>
    <row r="116" spans="17:20" x14ac:dyDescent="0.25">
      <c r="Q116" s="56">
        <v>39173</v>
      </c>
      <c r="R116" s="8">
        <v>216.65</v>
      </c>
    </row>
    <row r="117" spans="17:20" x14ac:dyDescent="0.25">
      <c r="Q117" s="56">
        <v>39203</v>
      </c>
      <c r="R117" s="8">
        <v>0</v>
      </c>
    </row>
    <row r="118" spans="17:20" x14ac:dyDescent="0.25">
      <c r="Q118" s="56">
        <v>39234</v>
      </c>
      <c r="R118" s="8">
        <v>289</v>
      </c>
    </row>
    <row r="119" spans="17:20" x14ac:dyDescent="0.25">
      <c r="Q119" s="56">
        <v>39264</v>
      </c>
      <c r="R119" s="8">
        <v>683.86</v>
      </c>
    </row>
    <row r="120" spans="17:20" x14ac:dyDescent="0.25">
      <c r="Q120" s="56">
        <v>39295</v>
      </c>
      <c r="R120" s="8">
        <v>418.77</v>
      </c>
    </row>
    <row r="121" spans="17:20" x14ac:dyDescent="0.25">
      <c r="Q121" s="56">
        <v>39326</v>
      </c>
      <c r="R121" s="8">
        <v>549.35</v>
      </c>
    </row>
    <row r="122" spans="17:20" x14ac:dyDescent="0.25">
      <c r="Q122" s="56">
        <v>39356</v>
      </c>
      <c r="R122" s="8">
        <v>56.286999999999999</v>
      </c>
      <c r="S122" s="56">
        <f>Q122</f>
        <v>39356</v>
      </c>
      <c r="T122" s="8">
        <f>SUM(R111:R122)</f>
        <v>4450.8470000000007</v>
      </c>
    </row>
    <row r="123" spans="17:20" x14ac:dyDescent="0.25">
      <c r="Q123" s="56">
        <v>39387</v>
      </c>
      <c r="R123" s="8">
        <v>351.56</v>
      </c>
    </row>
    <row r="124" spans="17:20" x14ac:dyDescent="0.25">
      <c r="Q124" s="56">
        <v>39417</v>
      </c>
      <c r="R124" s="8">
        <v>16807</v>
      </c>
    </row>
    <row r="125" spans="17:20" x14ac:dyDescent="0.25">
      <c r="Q125" s="56">
        <v>39448</v>
      </c>
      <c r="R125" s="8">
        <v>65093</v>
      </c>
    </row>
    <row r="126" spans="17:20" x14ac:dyDescent="0.25">
      <c r="Q126" s="56">
        <v>39479</v>
      </c>
      <c r="R126" s="8">
        <v>7933.3</v>
      </c>
    </row>
    <row r="127" spans="17:20" x14ac:dyDescent="0.25">
      <c r="Q127" s="56">
        <v>39508</v>
      </c>
      <c r="R127" s="8">
        <v>3655.1</v>
      </c>
    </row>
    <row r="128" spans="17:20" x14ac:dyDescent="0.25">
      <c r="Q128" s="56">
        <v>39539</v>
      </c>
      <c r="R128" s="8">
        <v>95.238</v>
      </c>
    </row>
    <row r="129" spans="17:20" x14ac:dyDescent="0.25">
      <c r="Q129" s="56">
        <v>39569</v>
      </c>
      <c r="R129" s="8">
        <v>0</v>
      </c>
    </row>
    <row r="130" spans="17:20" x14ac:dyDescent="0.25">
      <c r="Q130" s="56">
        <v>39600</v>
      </c>
      <c r="R130" s="8">
        <v>0</v>
      </c>
    </row>
    <row r="131" spans="17:20" x14ac:dyDescent="0.25">
      <c r="Q131" s="56">
        <v>39630</v>
      </c>
      <c r="R131" s="8">
        <v>269.95999999999998</v>
      </c>
    </row>
    <row r="132" spans="17:20" x14ac:dyDescent="0.25">
      <c r="Q132" s="56">
        <v>39661</v>
      </c>
      <c r="R132" s="8">
        <v>0</v>
      </c>
    </row>
    <row r="133" spans="17:20" x14ac:dyDescent="0.25">
      <c r="Q133" s="56">
        <v>39692</v>
      </c>
      <c r="R133" s="8">
        <v>199.56</v>
      </c>
    </row>
    <row r="134" spans="17:20" x14ac:dyDescent="0.25">
      <c r="Q134" s="56">
        <v>39722</v>
      </c>
      <c r="R134" s="8">
        <v>607.04</v>
      </c>
      <c r="S134" s="56">
        <f>Q134</f>
        <v>39722</v>
      </c>
      <c r="T134" s="8">
        <f>SUM(R123:R134)</f>
        <v>95011.758000000002</v>
      </c>
    </row>
    <row r="135" spans="17:20" x14ac:dyDescent="0.25">
      <c r="Q135" s="56">
        <v>39753</v>
      </c>
      <c r="R135" s="8">
        <v>389.19</v>
      </c>
    </row>
    <row r="136" spans="17:20" x14ac:dyDescent="0.25">
      <c r="Q136" s="56">
        <v>39783</v>
      </c>
      <c r="R136" s="8">
        <v>25338</v>
      </c>
    </row>
    <row r="137" spans="17:20" x14ac:dyDescent="0.25">
      <c r="Q137" s="56">
        <v>39814</v>
      </c>
      <c r="R137" s="8">
        <v>19855</v>
      </c>
    </row>
    <row r="138" spans="17:20" x14ac:dyDescent="0.25">
      <c r="Q138" s="56">
        <v>39845</v>
      </c>
      <c r="R138" s="8">
        <v>699.08</v>
      </c>
    </row>
    <row r="139" spans="17:20" x14ac:dyDescent="0.25">
      <c r="Q139" s="56">
        <v>39873</v>
      </c>
      <c r="R139" s="8">
        <v>11096</v>
      </c>
    </row>
    <row r="140" spans="17:20" x14ac:dyDescent="0.25">
      <c r="Q140" s="56">
        <v>39904</v>
      </c>
      <c r="R140" s="8">
        <v>38.146999999999998</v>
      </c>
    </row>
    <row r="141" spans="17:20" x14ac:dyDescent="0.25">
      <c r="Q141" s="56">
        <v>39934</v>
      </c>
      <c r="R141" s="8">
        <v>0</v>
      </c>
    </row>
    <row r="142" spans="17:20" x14ac:dyDescent="0.25">
      <c r="Q142" s="56">
        <v>39965</v>
      </c>
      <c r="R142" s="8">
        <v>7610.1</v>
      </c>
    </row>
    <row r="143" spans="17:20" x14ac:dyDescent="0.25">
      <c r="Q143" s="56">
        <v>39995</v>
      </c>
      <c r="R143" s="8">
        <v>658.5</v>
      </c>
    </row>
    <row r="144" spans="17:20" x14ac:dyDescent="0.25">
      <c r="Q144" s="56">
        <v>40026</v>
      </c>
      <c r="R144" s="8">
        <v>18.782</v>
      </c>
    </row>
    <row r="145" spans="17:20" x14ac:dyDescent="0.25">
      <c r="Q145" s="56">
        <v>40057</v>
      </c>
      <c r="R145" s="8">
        <v>11.959</v>
      </c>
    </row>
    <row r="146" spans="17:20" x14ac:dyDescent="0.25">
      <c r="Q146" s="56">
        <v>40087</v>
      </c>
      <c r="R146" s="8">
        <v>0</v>
      </c>
      <c r="S146" s="56">
        <f>Q146</f>
        <v>40087</v>
      </c>
      <c r="T146" s="8">
        <f>SUM(R135:R146)</f>
        <v>65714.758000000002</v>
      </c>
    </row>
    <row r="147" spans="17:20" x14ac:dyDescent="0.25">
      <c r="Q147" s="56">
        <v>40118</v>
      </c>
      <c r="R147" s="8">
        <v>0</v>
      </c>
    </row>
    <row r="148" spans="17:20" x14ac:dyDescent="0.25">
      <c r="Q148" s="56">
        <v>40148</v>
      </c>
      <c r="R148" s="8">
        <v>0</v>
      </c>
    </row>
    <row r="149" spans="17:20" x14ac:dyDescent="0.25">
      <c r="Q149" s="56">
        <v>40179</v>
      </c>
      <c r="R149" s="8">
        <v>41592</v>
      </c>
    </row>
    <row r="150" spans="17:20" x14ac:dyDescent="0.25">
      <c r="Q150" s="56">
        <v>40210</v>
      </c>
      <c r="R150" s="8">
        <v>10526</v>
      </c>
    </row>
    <row r="151" spans="17:20" x14ac:dyDescent="0.25">
      <c r="Q151" s="56">
        <v>40238</v>
      </c>
      <c r="R151" s="8">
        <v>10880</v>
      </c>
    </row>
    <row r="152" spans="17:20" x14ac:dyDescent="0.25">
      <c r="Q152" s="56">
        <v>40269</v>
      </c>
      <c r="R152" s="8">
        <v>11449</v>
      </c>
    </row>
    <row r="153" spans="17:20" x14ac:dyDescent="0.25">
      <c r="Q153" s="56">
        <v>40299</v>
      </c>
      <c r="R153" s="8">
        <v>1001.5</v>
      </c>
    </row>
    <row r="154" spans="17:20" x14ac:dyDescent="0.25">
      <c r="Q154" s="56">
        <v>40330</v>
      </c>
      <c r="R154" s="8">
        <v>39.93</v>
      </c>
    </row>
    <row r="155" spans="17:20" x14ac:dyDescent="0.25">
      <c r="Q155" s="56">
        <v>40360</v>
      </c>
      <c r="R155" s="8">
        <v>382.27</v>
      </c>
    </row>
    <row r="156" spans="17:20" x14ac:dyDescent="0.25">
      <c r="Q156" s="56">
        <v>40391</v>
      </c>
      <c r="R156" s="8">
        <v>10592</v>
      </c>
    </row>
    <row r="157" spans="17:20" x14ac:dyDescent="0.25">
      <c r="Q157" s="56">
        <v>40422</v>
      </c>
      <c r="R157" s="8">
        <v>3348.3</v>
      </c>
    </row>
    <row r="158" spans="17:20" x14ac:dyDescent="0.25">
      <c r="Q158" s="56">
        <v>40452</v>
      </c>
      <c r="R158" s="8">
        <v>7827.5</v>
      </c>
      <c r="S158" s="56">
        <f>Q158</f>
        <v>40452</v>
      </c>
      <c r="T158" s="8">
        <f>SUM(R147:R158)</f>
        <v>97638.5</v>
      </c>
    </row>
    <row r="159" spans="17:20" x14ac:dyDescent="0.25">
      <c r="Q159" s="56">
        <v>40483</v>
      </c>
      <c r="R159" s="8">
        <v>738.24</v>
      </c>
    </row>
    <row r="160" spans="17:20" x14ac:dyDescent="0.25">
      <c r="Q160" s="56">
        <v>40513</v>
      </c>
      <c r="R160" s="8">
        <v>5253.3</v>
      </c>
    </row>
    <row r="161" spans="17:20" x14ac:dyDescent="0.25">
      <c r="Q161" s="56">
        <v>40544</v>
      </c>
      <c r="R161" s="8">
        <v>9058</v>
      </c>
    </row>
    <row r="162" spans="17:20" x14ac:dyDescent="0.25">
      <c r="Q162" s="56">
        <v>40575</v>
      </c>
      <c r="R162" s="8">
        <v>16985</v>
      </c>
    </row>
    <row r="163" spans="17:20" x14ac:dyDescent="0.25">
      <c r="Q163" s="56">
        <v>40603</v>
      </c>
      <c r="R163" s="8">
        <v>10369</v>
      </c>
    </row>
    <row r="164" spans="17:20" x14ac:dyDescent="0.25">
      <c r="Q164" s="56">
        <v>40634</v>
      </c>
      <c r="R164" s="8">
        <v>4818.3</v>
      </c>
    </row>
    <row r="165" spans="17:20" x14ac:dyDescent="0.25">
      <c r="Q165" s="56">
        <v>40664</v>
      </c>
      <c r="R165" s="8">
        <v>2854.5</v>
      </c>
    </row>
    <row r="166" spans="17:20" x14ac:dyDescent="0.25">
      <c r="Q166" s="56">
        <v>40695</v>
      </c>
      <c r="R166" s="8">
        <v>723.52</v>
      </c>
    </row>
    <row r="167" spans="17:20" x14ac:dyDescent="0.25">
      <c r="Q167" s="56">
        <v>40725</v>
      </c>
      <c r="R167" s="8">
        <v>3429.6</v>
      </c>
    </row>
    <row r="168" spans="17:20" x14ac:dyDescent="0.25">
      <c r="Q168" s="56">
        <v>40756</v>
      </c>
      <c r="R168" s="8">
        <v>55.618000000000002</v>
      </c>
    </row>
    <row r="169" spans="17:20" x14ac:dyDescent="0.25">
      <c r="Q169" s="56">
        <v>40787</v>
      </c>
      <c r="R169" s="8">
        <v>640.01</v>
      </c>
    </row>
    <row r="170" spans="17:20" x14ac:dyDescent="0.25">
      <c r="Q170" s="56">
        <v>40817</v>
      </c>
      <c r="R170" s="8">
        <v>3770.8</v>
      </c>
      <c r="S170" s="56">
        <f>Q170</f>
        <v>40817</v>
      </c>
      <c r="T170" s="8">
        <f>SUM(R159:R170)</f>
        <v>58695.888000000006</v>
      </c>
    </row>
    <row r="171" spans="17:20" x14ac:dyDescent="0.25">
      <c r="Q171" s="56">
        <v>40848</v>
      </c>
      <c r="R171" s="8">
        <v>12609</v>
      </c>
    </row>
    <row r="172" spans="17:20" x14ac:dyDescent="0.25">
      <c r="Q172" s="56">
        <v>40878</v>
      </c>
      <c r="R172" s="8">
        <v>6439.7</v>
      </c>
    </row>
    <row r="173" spans="17:20" x14ac:dyDescent="0.25">
      <c r="Q173" s="56">
        <v>40909</v>
      </c>
      <c r="R173" s="8">
        <v>15629</v>
      </c>
    </row>
    <row r="174" spans="17:20" x14ac:dyDescent="0.25">
      <c r="Q174" s="56">
        <v>40940</v>
      </c>
      <c r="R174" s="8">
        <v>3466.8</v>
      </c>
    </row>
    <row r="175" spans="17:20" x14ac:dyDescent="0.25">
      <c r="Q175" s="56">
        <v>40969</v>
      </c>
      <c r="R175" s="8">
        <v>5880.7</v>
      </c>
    </row>
    <row r="176" spans="17:20" x14ac:dyDescent="0.25">
      <c r="Q176" s="56">
        <v>41000</v>
      </c>
      <c r="R176" s="8">
        <v>3197.5</v>
      </c>
    </row>
    <row r="177" spans="17:20" x14ac:dyDescent="0.25">
      <c r="Q177" s="56">
        <v>41030</v>
      </c>
      <c r="R177" s="8">
        <v>894.81</v>
      </c>
    </row>
    <row r="178" spans="17:20" x14ac:dyDescent="0.25">
      <c r="Q178" s="56">
        <v>41061</v>
      </c>
      <c r="R178" s="8">
        <v>961.81</v>
      </c>
    </row>
    <row r="179" spans="17:20" x14ac:dyDescent="0.25">
      <c r="Q179" s="56">
        <v>41091</v>
      </c>
      <c r="R179" s="8">
        <v>3119.9</v>
      </c>
    </row>
    <row r="180" spans="17:20" x14ac:dyDescent="0.25">
      <c r="Q180" s="56">
        <v>41122</v>
      </c>
      <c r="R180" s="8">
        <v>2495.5</v>
      </c>
    </row>
    <row r="181" spans="17:20" x14ac:dyDescent="0.25">
      <c r="Q181" s="56">
        <v>41153</v>
      </c>
      <c r="R181" s="8">
        <v>4515.2</v>
      </c>
    </row>
    <row r="182" spans="17:20" x14ac:dyDescent="0.25">
      <c r="Q182" s="56">
        <v>41183</v>
      </c>
      <c r="R182" s="8">
        <v>908.28</v>
      </c>
      <c r="S182" s="56">
        <f>Q182</f>
        <v>41183</v>
      </c>
      <c r="T182" s="8">
        <f>SUM(R171:R182)</f>
        <v>60118.19999999999</v>
      </c>
    </row>
    <row r="183" spans="17:20" x14ac:dyDescent="0.25">
      <c r="Q183" s="56">
        <v>41214</v>
      </c>
      <c r="R183" s="8">
        <v>10.9</v>
      </c>
    </row>
    <row r="184" spans="17:20" x14ac:dyDescent="0.25">
      <c r="Q184" s="56">
        <v>41244</v>
      </c>
      <c r="R184" s="8">
        <v>611.25</v>
      </c>
    </row>
    <row r="185" spans="17:20" x14ac:dyDescent="0.25">
      <c r="Q185" s="56">
        <v>41275</v>
      </c>
      <c r="R185" s="8">
        <v>920.79</v>
      </c>
    </row>
    <row r="186" spans="17:20" x14ac:dyDescent="0.25">
      <c r="Q186" s="56">
        <v>41306</v>
      </c>
      <c r="R186" s="8">
        <v>39657</v>
      </c>
    </row>
    <row r="187" spans="17:20" x14ac:dyDescent="0.25">
      <c r="Q187" s="56">
        <v>41334</v>
      </c>
      <c r="R187" s="8">
        <v>28318</v>
      </c>
    </row>
    <row r="188" spans="17:20" x14ac:dyDescent="0.25">
      <c r="Q188" s="56">
        <v>41365</v>
      </c>
      <c r="R188" s="8">
        <v>2783.6</v>
      </c>
    </row>
    <row r="189" spans="17:20" x14ac:dyDescent="0.25">
      <c r="Q189" s="56">
        <v>41395</v>
      </c>
      <c r="R189" s="8">
        <v>1106.0999999999999</v>
      </c>
    </row>
    <row r="190" spans="17:20" x14ac:dyDescent="0.25">
      <c r="Q190" s="56">
        <v>41426</v>
      </c>
      <c r="R190" s="8">
        <v>1022.5</v>
      </c>
    </row>
    <row r="191" spans="17:20" x14ac:dyDescent="0.25">
      <c r="Q191" s="56">
        <v>41456</v>
      </c>
      <c r="R191" s="8">
        <v>14960</v>
      </c>
    </row>
    <row r="192" spans="17:20" x14ac:dyDescent="0.25">
      <c r="Q192" s="56">
        <v>41487</v>
      </c>
      <c r="R192" s="8">
        <v>2093.5</v>
      </c>
    </row>
    <row r="193" spans="17:20" x14ac:dyDescent="0.25">
      <c r="Q193" s="56">
        <v>41518</v>
      </c>
      <c r="R193" s="8">
        <v>319.77</v>
      </c>
    </row>
    <row r="194" spans="17:20" x14ac:dyDescent="0.25">
      <c r="Q194" s="56">
        <v>41548</v>
      </c>
      <c r="R194" s="8">
        <v>260.52999999999997</v>
      </c>
      <c r="S194" s="56">
        <f>Q194</f>
        <v>41548</v>
      </c>
      <c r="T194" s="8">
        <f>SUM(R183:R194)</f>
        <v>92063.940000000017</v>
      </c>
    </row>
    <row r="195" spans="17:20" x14ac:dyDescent="0.25">
      <c r="Q195" s="56">
        <v>41579</v>
      </c>
      <c r="R195" s="8">
        <v>0</v>
      </c>
    </row>
    <row r="196" spans="17:20" x14ac:dyDescent="0.25">
      <c r="Q196" s="56">
        <v>41609</v>
      </c>
      <c r="R196" s="8">
        <v>637.41</v>
      </c>
    </row>
    <row r="197" spans="17:20" x14ac:dyDescent="0.25">
      <c r="Q197" s="56">
        <v>41640</v>
      </c>
      <c r="R197" s="8">
        <v>0</v>
      </c>
    </row>
    <row r="198" spans="17:20" x14ac:dyDescent="0.25">
      <c r="Q198" s="56">
        <v>41671</v>
      </c>
      <c r="R198" s="8">
        <v>386.48</v>
      </c>
    </row>
    <row r="199" spans="17:20" x14ac:dyDescent="0.25">
      <c r="Q199" s="56">
        <v>41699</v>
      </c>
      <c r="R199" s="8">
        <v>9910</v>
      </c>
    </row>
    <row r="200" spans="17:20" x14ac:dyDescent="0.25">
      <c r="Q200" s="56">
        <v>41730</v>
      </c>
      <c r="R200" s="8">
        <v>31674</v>
      </c>
    </row>
    <row r="201" spans="17:20" x14ac:dyDescent="0.25">
      <c r="Q201" s="56">
        <v>41760</v>
      </c>
      <c r="R201" s="8">
        <v>5162.3999999999996</v>
      </c>
    </row>
    <row r="202" spans="17:20" x14ac:dyDescent="0.25">
      <c r="Q202" s="56">
        <v>41791</v>
      </c>
      <c r="R202" s="8">
        <v>461.62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B21" sqref="B21"/>
    </sheetView>
  </sheetViews>
  <sheetFormatPr defaultRowHeight="15" x14ac:dyDescent="0.25"/>
  <sheetData>
    <row r="2" spans="1:3" x14ac:dyDescent="0.25">
      <c r="B2" t="s">
        <v>549</v>
      </c>
      <c r="C2" s="73" t="s">
        <v>550</v>
      </c>
    </row>
    <row r="3" spans="1:3" x14ac:dyDescent="0.25">
      <c r="A3" t="s">
        <v>22</v>
      </c>
      <c r="B3">
        <v>251.5</v>
      </c>
      <c r="C3">
        <v>405</v>
      </c>
    </row>
    <row r="4" spans="1:3" x14ac:dyDescent="0.25">
      <c r="A4" t="s">
        <v>23</v>
      </c>
      <c r="B4">
        <v>193.8</v>
      </c>
      <c r="C4">
        <v>394</v>
      </c>
    </row>
    <row r="5" spans="1:3" x14ac:dyDescent="0.25">
      <c r="A5" t="s">
        <v>24</v>
      </c>
      <c r="B5">
        <v>225.5</v>
      </c>
      <c r="C5">
        <v>218</v>
      </c>
    </row>
    <row r="6" spans="1:3" x14ac:dyDescent="0.25">
      <c r="A6" t="s">
        <v>25</v>
      </c>
      <c r="B6">
        <v>225.9</v>
      </c>
      <c r="C6">
        <v>174</v>
      </c>
    </row>
    <row r="7" spans="1:3" x14ac:dyDescent="0.25">
      <c r="A7" t="s">
        <v>26</v>
      </c>
      <c r="B7">
        <v>167.3</v>
      </c>
      <c r="C7">
        <v>258</v>
      </c>
    </row>
    <row r="8" spans="1:3" x14ac:dyDescent="0.25">
      <c r="A8" t="s">
        <v>27</v>
      </c>
      <c r="B8">
        <v>177.8</v>
      </c>
      <c r="C8">
        <v>247</v>
      </c>
    </row>
    <row r="9" spans="1:3" x14ac:dyDescent="0.25">
      <c r="A9" t="s">
        <v>28</v>
      </c>
      <c r="B9">
        <v>176.9</v>
      </c>
      <c r="C9">
        <v>126</v>
      </c>
    </row>
    <row r="10" spans="1:3" x14ac:dyDescent="0.25">
      <c r="A10" t="s">
        <v>29</v>
      </c>
      <c r="B10">
        <v>190.8</v>
      </c>
      <c r="C10">
        <v>53</v>
      </c>
    </row>
    <row r="11" spans="1:3" x14ac:dyDescent="0.25">
      <c r="A11" t="s">
        <v>30</v>
      </c>
      <c r="B11">
        <v>193.3</v>
      </c>
      <c r="C11">
        <v>128</v>
      </c>
    </row>
    <row r="12" spans="1:3" x14ac:dyDescent="0.25">
      <c r="A12" t="s">
        <v>31</v>
      </c>
      <c r="B12">
        <v>205.1</v>
      </c>
      <c r="C12">
        <v>138</v>
      </c>
    </row>
    <row r="13" spans="1:3" x14ac:dyDescent="0.25">
      <c r="A13" t="s">
        <v>32</v>
      </c>
      <c r="B13">
        <v>377.4</v>
      </c>
      <c r="C13">
        <v>332</v>
      </c>
    </row>
    <row r="14" spans="1:3" x14ac:dyDescent="0.25">
      <c r="A14" t="s">
        <v>33</v>
      </c>
      <c r="B14">
        <v>225.1</v>
      </c>
      <c r="C14">
        <v>366</v>
      </c>
    </row>
    <row r="15" spans="1:3" x14ac:dyDescent="0.25">
      <c r="A15" t="s">
        <v>34</v>
      </c>
      <c r="B15">
        <v>199.5</v>
      </c>
      <c r="C15">
        <v>347</v>
      </c>
    </row>
    <row r="16" spans="1:3" x14ac:dyDescent="0.25">
      <c r="A16" t="s">
        <v>35</v>
      </c>
      <c r="B16">
        <v>228.6</v>
      </c>
      <c r="C16">
        <v>321</v>
      </c>
    </row>
    <row r="17" spans="1:3" x14ac:dyDescent="0.25">
      <c r="A17" t="s">
        <v>213</v>
      </c>
      <c r="B17">
        <v>199.5</v>
      </c>
      <c r="C17">
        <v>147</v>
      </c>
    </row>
    <row r="19" spans="1:3" x14ac:dyDescent="0.25">
      <c r="B19" t="s">
        <v>551</v>
      </c>
    </row>
    <row r="20" spans="1:3" x14ac:dyDescent="0.25">
      <c r="B20">
        <f>CORREL(B3:B17,C3:C17)</f>
        <v>0.37864401775836048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MetaData</vt:lpstr>
      <vt:lpstr>Gwydir</vt:lpstr>
      <vt:lpstr>LwrBal</vt:lpstr>
      <vt:lpstr>Goondiw</vt:lpstr>
      <vt:lpstr>War-Nar-Tra</vt:lpstr>
      <vt:lpstr>NamoiGunBog</vt:lpstr>
      <vt:lpstr>NamoiBlNarr</vt:lpstr>
      <vt:lpstr>Mungindi</vt:lpstr>
      <vt:lpstr>Bourke</vt:lpstr>
      <vt:lpstr>cotprice</vt:lpstr>
    </vt:vector>
  </TitlesOfParts>
  <Company>Murray-Darling Basin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Townsend</dc:creator>
  <cp:lastModifiedBy>Phil Townsend</cp:lastModifiedBy>
  <dcterms:created xsi:type="dcterms:W3CDTF">2015-01-28T01:09:38Z</dcterms:created>
  <dcterms:modified xsi:type="dcterms:W3CDTF">2016-08-26T03:08:12Z</dcterms:modified>
</cp:coreProperties>
</file>